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0-2021\"/>
    </mc:Choice>
  </mc:AlternateContent>
  <xr:revisionPtr revIDLastSave="0" documentId="8_{6DCC71BD-E9A3-48B0-9FCA-ABB12ECEEA0E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P &amp; I" sheetId="4" state="hidden" r:id="rId1"/>
    <sheet name="Sheet1" sheetId="1" r:id="rId2"/>
  </sheets>
  <definedNames>
    <definedName name="_xlnm._FilterDatabase" localSheetId="1" hidden="1">Sheet1!$A$1:$CG$76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" l="1"/>
  <c r="F64" i="1"/>
  <c r="F63" i="1"/>
  <c r="F60" i="1"/>
  <c r="F53" i="1"/>
  <c r="F47" i="1"/>
  <c r="F45" i="1"/>
  <c r="F44" i="1"/>
  <c r="F41" i="1"/>
  <c r="F37" i="1"/>
  <c r="F34" i="1"/>
  <c r="F33" i="1"/>
  <c r="F32" i="1"/>
  <c r="F30" i="1"/>
  <c r="F29" i="1"/>
  <c r="F27" i="1"/>
  <c r="F26" i="1"/>
  <c r="F25" i="1"/>
  <c r="F24" i="1"/>
  <c r="F18" i="1"/>
  <c r="F17" i="1"/>
  <c r="F15" i="1"/>
  <c r="F11" i="1"/>
  <c r="F10" i="1"/>
  <c r="F9" i="1"/>
  <c r="CI26" i="1"/>
  <c r="BO26" i="1"/>
  <c r="AY26" i="1"/>
  <c r="BN55" i="1" l="1"/>
  <c r="Z58" i="1"/>
  <c r="F65" i="1"/>
  <c r="F58" i="1"/>
  <c r="F57" i="1"/>
  <c r="F54" i="1"/>
  <c r="F51" i="1"/>
  <c r="F50" i="1"/>
  <c r="F40" i="1"/>
  <c r="F39" i="1"/>
  <c r="F20" i="1"/>
  <c r="F19" i="1"/>
  <c r="F16" i="1"/>
  <c r="F12" i="1"/>
  <c r="F8" i="1"/>
  <c r="F35" i="1" l="1"/>
  <c r="F21" i="1"/>
  <c r="F14" i="1"/>
  <c r="F46" i="1" l="1"/>
  <c r="F55" i="1"/>
  <c r="F48" i="1"/>
  <c r="F31" i="1"/>
  <c r="F28" i="1"/>
  <c r="F42" i="1"/>
  <c r="F22" i="1"/>
  <c r="BF29" i="1"/>
  <c r="BE9" i="1"/>
  <c r="H37" i="1"/>
  <c r="H19" i="1"/>
  <c r="I53" i="1"/>
  <c r="I33" i="1"/>
  <c r="I9" i="1"/>
  <c r="V66" i="1"/>
  <c r="F38" i="1"/>
  <c r="BR20" i="1"/>
  <c r="AY20" i="1"/>
  <c r="AV17" i="1"/>
  <c r="BB45" i="1" l="1"/>
  <c r="BB20" i="1"/>
  <c r="BB10" i="1"/>
  <c r="I40" i="1" l="1"/>
  <c r="I32" i="1"/>
  <c r="I29" i="1"/>
  <c r="I27" i="1"/>
  <c r="I11" i="1"/>
  <c r="H52" i="1"/>
  <c r="H39" i="1"/>
  <c r="F62" i="1"/>
  <c r="F36" i="1"/>
  <c r="T66" i="1"/>
  <c r="U66" i="1"/>
  <c r="W66" i="1"/>
  <c r="X66" i="1"/>
  <c r="P66" i="1" l="1"/>
  <c r="BJ66" i="1"/>
  <c r="BG66" i="1"/>
  <c r="BL66" i="1"/>
  <c r="AR65" i="1"/>
  <c r="AR61" i="1"/>
  <c r="AR56" i="1"/>
  <c r="AR30" i="1"/>
  <c r="AR24" i="1"/>
  <c r="AR22" i="1"/>
  <c r="AR21" i="1"/>
  <c r="AR18" i="1"/>
  <c r="AR17" i="1"/>
  <c r="AR16" i="1"/>
  <c r="AR15" i="1"/>
  <c r="AR14" i="1"/>
  <c r="CI32" i="1"/>
  <c r="CI23" i="1"/>
  <c r="BZ63" i="1"/>
  <c r="BW32" i="1"/>
  <c r="BT63" i="1"/>
  <c r="BT41" i="1"/>
  <c r="BT32" i="1"/>
  <c r="BT23" i="1"/>
  <c r="BT21" i="1"/>
  <c r="BR63" i="1"/>
  <c r="BR41" i="1"/>
  <c r="BR40" i="1"/>
  <c r="BR16" i="1"/>
  <c r="AY41" i="1"/>
  <c r="AY32" i="1"/>
  <c r="AY23" i="1"/>
  <c r="BB41" i="1"/>
  <c r="BB23" i="1"/>
  <c r="BB21" i="1"/>
  <c r="AJ66" i="1" l="1"/>
  <c r="AI66" i="1"/>
  <c r="BI66" i="1"/>
  <c r="CC66" i="1"/>
  <c r="F59" i="1"/>
  <c r="AV61" i="1"/>
  <c r="BE66" i="1"/>
  <c r="BF66" i="1"/>
  <c r="AQ65" i="1" l="1"/>
  <c r="AQ64" i="1"/>
  <c r="AQ63" i="1"/>
  <c r="AQ62" i="1"/>
  <c r="AQ55" i="1"/>
  <c r="AQ54" i="1"/>
  <c r="AQ53" i="1"/>
  <c r="AQ52" i="1"/>
  <c r="AQ51" i="1"/>
  <c r="AQ50" i="1"/>
  <c r="AQ49" i="1"/>
  <c r="C49" i="1" s="1"/>
  <c r="AQ47" i="1"/>
  <c r="AQ44" i="1"/>
  <c r="AQ39" i="1"/>
  <c r="AQ35" i="1"/>
  <c r="AQ32" i="1"/>
  <c r="AQ23" i="1"/>
  <c r="C23" i="1" s="1"/>
  <c r="AQ21" i="1"/>
  <c r="AQ20" i="1"/>
  <c r="AQ15" i="1"/>
  <c r="AQ12" i="1"/>
  <c r="AQ8" i="1"/>
  <c r="H66" i="1"/>
  <c r="I66" i="1"/>
  <c r="O66" i="1"/>
  <c r="C53" i="1" l="1"/>
  <c r="BR55" i="1"/>
  <c r="C55" i="1" s="1"/>
  <c r="F56" i="1" l="1"/>
  <c r="BZ65" i="1" l="1"/>
  <c r="BZ64" i="1"/>
  <c r="BZ62" i="1"/>
  <c r="BZ60" i="1"/>
  <c r="BZ56" i="1"/>
  <c r="BZ50" i="1"/>
  <c r="BZ47" i="1"/>
  <c r="C47" i="1" s="1"/>
  <c r="BZ40" i="1"/>
  <c r="BZ37" i="1"/>
  <c r="BZ36" i="1"/>
  <c r="BZ33" i="1"/>
  <c r="BZ32" i="1"/>
  <c r="BZ31" i="1"/>
  <c r="BZ29" i="1"/>
  <c r="BZ27" i="1"/>
  <c r="BZ25" i="1"/>
  <c r="BZ24" i="1"/>
  <c r="BZ20" i="1"/>
  <c r="BZ19" i="1"/>
  <c r="BZ18" i="1"/>
  <c r="BZ17" i="1"/>
  <c r="C17" i="1" s="1"/>
  <c r="BZ16" i="1"/>
  <c r="BZ15" i="1"/>
  <c r="BZ9" i="1"/>
  <c r="CA33" i="1"/>
  <c r="BX63" i="1"/>
  <c r="C63" i="1" s="1"/>
  <c r="BX19" i="1"/>
  <c r="BW57" i="1"/>
  <c r="BW56" i="1"/>
  <c r="BW18" i="1"/>
  <c r="BT65" i="1"/>
  <c r="BT64" i="1"/>
  <c r="BT62" i="1"/>
  <c r="BT56" i="1"/>
  <c r="BT52" i="1"/>
  <c r="BT40" i="1"/>
  <c r="BT33" i="1"/>
  <c r="BT27" i="1"/>
  <c r="BT26" i="1"/>
  <c r="BT20" i="1"/>
  <c r="BT19" i="1"/>
  <c r="BT15" i="1"/>
  <c r="CI56" i="1" l="1"/>
  <c r="CI11" i="1"/>
  <c r="CI9" i="1"/>
  <c r="BQ37" i="1"/>
  <c r="BR64" i="1"/>
  <c r="BR56" i="1"/>
  <c r="BR52" i="1"/>
  <c r="BR50" i="1"/>
  <c r="BR45" i="1"/>
  <c r="C45" i="1" s="1"/>
  <c r="BR33" i="1"/>
  <c r="BR32" i="1"/>
  <c r="C32" i="1" s="1"/>
  <c r="BR31" i="1"/>
  <c r="BR29" i="1"/>
  <c r="BR25" i="1"/>
  <c r="BR22" i="1"/>
  <c r="BR9" i="1"/>
  <c r="BN60" i="1"/>
  <c r="BN59" i="1"/>
  <c r="C59" i="1" s="1"/>
  <c r="BN57" i="1"/>
  <c r="BN54" i="1"/>
  <c r="BN26" i="1"/>
  <c r="C26" i="1" s="1"/>
  <c r="BN22" i="1"/>
  <c r="BN11" i="1"/>
  <c r="BO66" i="1"/>
  <c r="BC31" i="1"/>
  <c r="BC21" i="1"/>
  <c r="C21" i="1" s="1"/>
  <c r="BC12" i="1"/>
  <c r="BB65" i="1"/>
  <c r="C65" i="1" s="1"/>
  <c r="BB64" i="1"/>
  <c r="BB61" i="1"/>
  <c r="C61" i="1" s="1"/>
  <c r="BB40" i="1"/>
  <c r="C40" i="1" s="1"/>
  <c r="BB37" i="1"/>
  <c r="BB31" i="1"/>
  <c r="BB30" i="1"/>
  <c r="C30" i="1" s="1"/>
  <c r="BB19" i="1"/>
  <c r="BB16" i="1"/>
  <c r="C16" i="1" s="1"/>
  <c r="AY37" i="1"/>
  <c r="C20" i="1"/>
  <c r="AT66" i="1"/>
  <c r="C22" i="1" l="1"/>
  <c r="C9" i="1"/>
  <c r="AQ57" i="1"/>
  <c r="AQ46" i="1"/>
  <c r="AQ11" i="1"/>
  <c r="C11" i="1" s="1"/>
  <c r="R66" i="1" l="1"/>
  <c r="C62" i="1" l="1"/>
  <c r="AY14" i="1" l="1"/>
  <c r="CI66" i="1" l="1"/>
  <c r="BW64" i="1" l="1"/>
  <c r="BW48" i="1"/>
  <c r="BW38" i="1"/>
  <c r="C38" i="1" s="1"/>
  <c r="BT50" i="1"/>
  <c r="C50" i="1" s="1"/>
  <c r="BT43" i="1"/>
  <c r="BR19" i="1"/>
  <c r="AQ33" i="1" l="1"/>
  <c r="AQ14" i="1"/>
  <c r="AR42" i="1"/>
  <c r="C46" i="1" l="1"/>
  <c r="C42" i="1"/>
  <c r="BN66" i="1" l="1"/>
  <c r="BW66" i="1" l="1"/>
  <c r="BX66" i="1"/>
  <c r="AY43" i="1" l="1"/>
  <c r="AZ66" i="1"/>
  <c r="BC56" i="1" l="1"/>
  <c r="C56" i="1" s="1"/>
  <c r="BC37" i="1"/>
  <c r="BC33" i="1"/>
  <c r="C33" i="1" s="1"/>
  <c r="BC19" i="1"/>
  <c r="C19" i="1" s="1"/>
  <c r="BC14" i="1"/>
  <c r="C14" i="1" s="1"/>
  <c r="BB66" i="1"/>
  <c r="BC66" i="1" l="1"/>
  <c r="AQ36" i="1" l="1"/>
  <c r="C36" i="1" s="1"/>
  <c r="AQ28" i="1"/>
  <c r="C28" i="1" s="1"/>
  <c r="AQ25" i="1"/>
  <c r="C25" i="1" s="1"/>
  <c r="AR29" i="1"/>
  <c r="AR8" i="1"/>
  <c r="C8" i="1" s="1"/>
  <c r="BT66" i="1" l="1"/>
  <c r="BU66" i="1"/>
  <c r="BZ66" i="1" l="1"/>
  <c r="CA66" i="1"/>
  <c r="AQ43" i="1" l="1"/>
  <c r="C43" i="1" s="1"/>
  <c r="AR58" i="1"/>
  <c r="C58" i="1" s="1"/>
  <c r="AR41" i="1"/>
  <c r="C41" i="1" s="1"/>
  <c r="AR12" i="1"/>
  <c r="AK66" i="1" l="1"/>
  <c r="C57" i="1" l="1"/>
  <c r="AV66" i="1" l="1"/>
  <c r="AP66" i="1" l="1"/>
  <c r="AR13" i="1"/>
  <c r="C13" i="1" s="1"/>
  <c r="BR66" i="1" l="1"/>
  <c r="BQ66" i="1"/>
  <c r="AY27" i="1"/>
  <c r="BK66" i="1" l="1"/>
  <c r="AR27" i="1" l="1"/>
  <c r="C27" i="1" s="1"/>
  <c r="S66" i="1" l="1"/>
  <c r="AQ66" i="1" l="1"/>
  <c r="CF66" i="1"/>
  <c r="BD66" i="1"/>
  <c r="AR66" i="1" l="1"/>
  <c r="AO66" i="1"/>
  <c r="Z66" i="1"/>
  <c r="CD66" i="1"/>
  <c r="BA66" i="1" l="1"/>
  <c r="CG66" i="1" l="1"/>
  <c r="CH66" i="1"/>
  <c r="BV66" i="1"/>
  <c r="BM66" i="1"/>
  <c r="BY66" i="1" l="1"/>
  <c r="D48" i="1" l="1"/>
  <c r="C48" i="1" s="1"/>
  <c r="AU66" i="1"/>
  <c r="C31" i="1" l="1"/>
  <c r="C35" i="1"/>
  <c r="F66" i="1" l="1"/>
  <c r="AY66" i="1"/>
  <c r="AE60" i="1" l="1"/>
  <c r="C60" i="1" s="1"/>
  <c r="AE44" i="1"/>
  <c r="C44" i="1" s="1"/>
  <c r="AE29" i="1"/>
  <c r="C29" i="1" s="1"/>
  <c r="AE18" i="1"/>
  <c r="C18" i="1" s="1"/>
  <c r="AE12" i="1"/>
  <c r="C12" i="1" s="1"/>
  <c r="AF64" i="1"/>
  <c r="C64" i="1" s="1"/>
  <c r="AF54" i="1"/>
  <c r="C54" i="1" s="1"/>
  <c r="AF52" i="1"/>
  <c r="C52" i="1" s="1"/>
  <c r="AF51" i="1"/>
  <c r="C51" i="1" s="1"/>
  <c r="AF39" i="1"/>
  <c r="C39" i="1" s="1"/>
  <c r="AF37" i="1"/>
  <c r="C37" i="1" s="1"/>
  <c r="AF34" i="1"/>
  <c r="C34" i="1" s="1"/>
  <c r="AF24" i="1"/>
  <c r="C24" i="1" s="1"/>
  <c r="AF15" i="1"/>
  <c r="C15" i="1" s="1"/>
  <c r="AF10" i="1"/>
  <c r="C10" i="1" s="1"/>
  <c r="AG66" i="1"/>
  <c r="AX66" i="1" l="1"/>
  <c r="AW66" i="1"/>
  <c r="AM66" i="1" l="1"/>
  <c r="AC66" i="1"/>
  <c r="AB66" i="1"/>
  <c r="AH66" i="1"/>
  <c r="AA66" i="1"/>
  <c r="Y66" i="1"/>
  <c r="CE66" i="1" l="1"/>
  <c r="BS66" i="1" l="1"/>
  <c r="BP66" i="1" l="1"/>
  <c r="N66" i="1" l="1"/>
  <c r="AE66" i="1" l="1"/>
  <c r="AS66" i="1" l="1"/>
  <c r="AF66" i="1" l="1"/>
  <c r="AN66" i="1"/>
  <c r="M66" i="1" l="1"/>
  <c r="L66" i="1" l="1"/>
  <c r="K66" i="1"/>
  <c r="J66" i="1"/>
  <c r="AD66" i="1" l="1"/>
  <c r="BH66" i="1"/>
  <c r="G66" i="1" l="1"/>
  <c r="CB66" i="1" l="1"/>
  <c r="AL66" i="1" l="1"/>
  <c r="C66" i="1" l="1"/>
  <c r="D66" i="1" l="1"/>
  <c r="E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Katie Buchanan</author>
    <author>brinnv</author>
  </authors>
  <commentList>
    <comment ref="H1" authorId="0" shapeId="0" xr:uid="{93BA3FE5-39FB-4AA3-9F11-C89D4D130EA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Colleges' original allocation located on pg. 44 - FY 2020-21 State Aid Allocations &amp; Budget Policies (incl in formula budget)</t>
        </r>
      </text>
    </comment>
    <comment ref="I1" authorId="0" shapeId="0" xr:uid="{CCD16167-EB4C-4259-B8A1-61DD2226CFE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Colleges' original allocation located on pg. 44 - FY 2020-21 State Aid Allocations &amp; Budget Policies (incl in formula budget)</t>
        </r>
      </text>
    </comment>
    <comment ref="R1" authorId="0" shapeId="0" xr:uid="{8CB8FAD2-3871-42D5-B3B1-D65BCCE4EBCE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As amended by the Strenthening Career &amp; Technical Education for the 21st Century Act (Perkins V)</t>
        </r>
      </text>
    </comment>
    <comment ref="S1" authorId="0" shapeId="0" xr:uid="{80A45614-5A74-4CC4-88C6-26F5907455F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Reserve funds from Perkins CTE Act, as amended by the Strengthening CTE for the 21st Century Act (Perkins V)</t>
        </r>
      </text>
    </comment>
    <comment ref="AD1" authorId="0" shapeId="0" xr:uid="{B6870FBB-421E-4931-99EE-A423888E4BB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WIOA-AEFLA Section 225</t>
        </r>
      </text>
    </comment>
    <comment ref="AG1" authorId="0" shapeId="0" xr:uid="{0DB4AE15-4A74-4069-AA3A-7D4A993E6198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GEAR UP grant
(USDoE partnership with UNC)</t>
        </r>
      </text>
    </comment>
    <comment ref="AK1" authorId="0" shapeId="0" xr:uid="{DB4C5364-4030-48C9-99AD-E80B79BF38D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As appropriated to NCDPS and transferred to the NCCCS</t>
        </r>
      </text>
    </comment>
    <comment ref="AN1" authorId="0" shapeId="0" xr:uid="{A71309D3-CCF1-43D4-B142-5605C4B4A3D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WIOA-AEFLA Section 231</t>
        </r>
      </text>
    </comment>
    <comment ref="AP1" authorId="0" shapeId="0" xr:uid="{D578622C-9C6B-48DB-8344-A06321C62C5E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AQ1" authorId="0" shapeId="0" xr:uid="{A6CD636C-962E-49D7-8753-85F549448309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AR1" authorId="0" shapeId="0" xr:uid="{8C5291B0-641F-479E-A7F7-948F6CA86FB8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AS1" authorId="0" shapeId="0" xr:uid="{8D9CBADC-1F4E-4D4D-B4DB-3046AF9970E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ASE Grant</t>
        </r>
      </text>
    </comment>
    <comment ref="AT1" authorId="0" shapeId="0" xr:uid="{8D7B67F9-1B74-4F6A-A57E-E663A1F27D1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ASE Grant</t>
        </r>
      </text>
    </comment>
    <comment ref="AU1" authorId="0" shapeId="0" xr:uid="{ADDD442C-C6EE-49CE-BB6D-EA8A540D8AD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ASE Grant</t>
        </r>
      </text>
    </comment>
    <comment ref="AV1" authorId="0" shapeId="0" xr:uid="{45065595-7D36-4EE9-BFBF-F7DE259B6C1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ASE Grant</t>
        </r>
      </text>
    </comment>
    <comment ref="AW1" authorId="0" shapeId="0" xr:uid="{129B8F1C-2E0D-418A-B4D8-9F9D7FF47AB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SL 2020-4</t>
        </r>
      </text>
    </comment>
    <comment ref="AX1" authorId="0" shapeId="0" xr:uid="{9688580A-3A0B-4D62-9457-B06C3FA3E99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AY1" authorId="0" shapeId="0" xr:uid="{FC454CA3-48DB-4D97-B74D-C3F5F1EBE9E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AZ1" authorId="0" shapeId="0" xr:uid="{8D40ABA3-4A7D-4620-B641-2033A0EC50E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A1" authorId="0" shapeId="0" xr:uid="{C238FBAA-2FDE-463A-AB58-A7277578CBA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B1" authorId="0" shapeId="0" xr:uid="{25C54919-DB21-407C-8AE3-BAC945B38678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C1" authorId="0" shapeId="0" xr:uid="{C7AE8A0B-6964-49B5-9FBA-1DFB013013D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G1" authorId="0" shapeId="0" xr:uid="{12C4DC99-E6E4-496C-AE21-1ED74997400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WIOA-AEFLA Section 231
State Leadership Funds
</t>
        </r>
      </text>
    </comment>
    <comment ref="BH1" authorId="0" shapeId="0" xr:uid="{BCB7B4C0-1695-4E12-8B62-3CB794791F4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WIOA-AEFLA Section 243</t>
        </r>
      </text>
    </comment>
    <comment ref="BI1" authorId="0" shapeId="0" xr:uid="{81E4125C-0967-4E6A-972E-E5B4A7FEA6B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WIOA-AEFLA Section 243</t>
        </r>
      </text>
    </comment>
    <comment ref="BJ1" authorId="0" shapeId="0" xr:uid="{F2A2D260-6263-4E3A-9E7C-1364AB9B06D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WIOA-AEFLA Section 231
</t>
        </r>
      </text>
    </comment>
    <comment ref="BK1" authorId="0" shapeId="0" xr:uid="{910D43E5-04AD-4502-8596-B8321F1C422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L1" authorId="0" shapeId="0" xr:uid="{972A86C9-79BE-4839-8857-55DBFE97E6C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WIOA-AEFLA State Leadership Funds</t>
        </r>
      </text>
    </comment>
    <comment ref="BM1" authorId="0" shapeId="0" xr:uid="{27A6F728-6D28-4CEB-8ED1-F3C1C0659269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Transferred to NCCCS from OSBM - SL 2020-32</t>
        </r>
      </text>
    </comment>
    <comment ref="BN1" authorId="0" shapeId="0" xr:uid="{3B9ED107-365D-4BF8-8526-DF5045A48439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Transferred to NCCCS from OSBM - SL 2020-32</t>
        </r>
      </text>
    </comment>
    <comment ref="BO1" authorId="0" shapeId="0" xr:uid="{D6D1A034-08ED-417C-8ED8-2ADF0EA778C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Transferred to NCCCS from OSBM - SL 2020-32</t>
        </r>
      </text>
    </comment>
    <comment ref="BP1" authorId="0" shapeId="0" xr:uid="{D5A3ED5A-D4F1-47A9-B622-835833E66F7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Q1" authorId="0" shapeId="0" xr:uid="{C33470F6-F62C-41D1-838F-4C58EA1208C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R1" authorId="0" shapeId="0" xr:uid="{F3FF9585-DDB1-4D1C-853B-02FCEDC9C14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S1" authorId="0" shapeId="0" xr:uid="{4DE4108D-F4F9-4196-A09B-8D01FBA56C3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T1" authorId="0" shapeId="0" xr:uid="{C5CDBF75-8F3E-4427-BB41-0447A00B567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U1" authorId="0" shapeId="0" xr:uid="{D8BBF6DE-4B3C-4584-A2B1-1E6BCDCB88E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V1" authorId="0" shapeId="0" xr:uid="{013C6903-C288-4F6C-9BF9-6A03BDFF6BE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2020-97</t>
        </r>
      </text>
    </comment>
    <comment ref="BW1" authorId="0" shapeId="0" xr:uid="{BCEB42B5-776E-4255-8FA9-7DD73CA9BAFE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2020-97</t>
        </r>
      </text>
    </comment>
    <comment ref="BX1" authorId="0" shapeId="0" xr:uid="{F91427A7-68F3-4B1E-80FD-8BE06F50505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2020-97</t>
        </r>
      </text>
    </comment>
    <comment ref="BY1" authorId="0" shapeId="0" xr:uid="{4005070E-8EE8-4C7D-AE45-9B78D21D391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BZ1" authorId="0" shapeId="0" xr:uid="{2112ED5C-D87A-496B-883E-49407167081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CA1" authorId="0" shapeId="0" xr:uid="{30FBAAEF-389D-431B-A9D8-65D11DB972F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</t>
        </r>
      </text>
    </comment>
    <comment ref="CD1" authorId="0" shapeId="0" xr:uid="{2779172D-26F8-4F14-B01E-22C48FD958E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GEER Fund, Section 18002, Division B of the federal CARES Act</t>
        </r>
      </text>
    </comment>
    <comment ref="CE1" authorId="0" shapeId="0" xr:uid="{6262F270-5A9E-4E91-96EE-8E45E6B963C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
</t>
        </r>
      </text>
    </comment>
    <comment ref="CF1" authorId="0" shapeId="0" xr:uid="{F561F9DD-D735-478A-B96B-4B38E520247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2020-4
</t>
        </r>
      </text>
    </comment>
    <comment ref="CG1" authorId="0" shapeId="0" xr:uid="{73921B52-1AB5-4B17-906C-8706052EEA8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2020-97</t>
        </r>
      </text>
    </comment>
    <comment ref="CH1" authorId="0" shapeId="0" xr:uid="{2560374A-6D7A-4D75-90D6-9D897B121F9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2020-97</t>
        </r>
      </text>
    </comment>
    <comment ref="CI1" authorId="0" shapeId="0" xr:uid="{038CF456-060E-4B20-9423-04FD8E73FA7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Session Law 2020-97</t>
        </r>
      </text>
    </comment>
    <comment ref="R2" authorId="0" shapeId="0" xr:uid="{AF7163F7-DEB8-4247-B26F-3E4AF2322D4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03
SBCC 11/20/20
</t>
        </r>
      </text>
    </comment>
    <comment ref="S2" authorId="0" shapeId="0" xr:uid="{6A6EB5EE-DA9B-4A18-A4BD-98502F3D7A1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09
SBCC 9/18/20</t>
        </r>
      </text>
    </comment>
    <comment ref="T2" authorId="0" shapeId="0" xr:uid="{622340E9-EE2A-4994-859E-133248BAC51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04
SBCC 6/5/20
*Unexpended funds reallocated on 8/4/20</t>
        </r>
      </text>
    </comment>
    <comment ref="U2" authorId="0" shapeId="0" xr:uid="{5D09FC16-9C29-4A09-AD62-0096B32241C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Carver on 8/12/20, per FC 04, SBCC 6/5/20</t>
        </r>
      </text>
    </comment>
    <comment ref="V2" authorId="0" shapeId="0" xr:uid="{95D36D6F-EA0C-4ED9-A50D-771001D49C62}">
      <text>
        <r>
          <rPr>
            <b/>
            <sz val="9"/>
            <color indexed="81"/>
            <rFont val="Tahoma"/>
            <charset val="1"/>
          </rPr>
          <t>Katie Buchanan:</t>
        </r>
        <r>
          <rPr>
            <sz val="9"/>
            <color indexed="81"/>
            <rFont val="Tahoma"/>
            <charset val="1"/>
          </rPr>
          <t xml:space="preserve">
Approved by President Stith on 3/22/21, per FC 02, SBCC 10/16/20</t>
        </r>
      </text>
    </comment>
    <comment ref="W2" authorId="0" shapeId="0" xr:uid="{D6699C7B-24A6-4790-82B6-4FF6FDDA163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2/21/20
</t>
        </r>
      </text>
    </comment>
    <comment ref="X2" authorId="0" shapeId="0" xr:uid="{7ED0356D-1102-401E-B313-26084A49DE9E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1/15/21
</t>
        </r>
      </text>
    </comment>
    <comment ref="Y2" authorId="0" shapeId="0" xr:uid="{830D1E41-EA43-4C67-A8CF-C81655667FF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05
SBCC 5/15/20</t>
        </r>
      </text>
    </comment>
    <comment ref="AA2" authorId="0" shapeId="0" xr:uid="{3D721AA8-E724-4BD1-8D15-6C8617BF6F6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Hans 12/19/19
*Unexpended funds reallocated on 8/3/20</t>
        </r>
      </text>
    </comment>
    <comment ref="AB2" authorId="0" shapeId="0" xr:uid="{1654CC43-408E-46E9-A6ED-E09A89671A4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08
SBCC 5/15/20</t>
        </r>
      </text>
    </comment>
    <comment ref="AC2" authorId="0" shapeId="0" xr:uid="{09E71047-E1C9-406E-AE96-0A2BE2DC4D2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Hans 6/26/20
</t>
        </r>
      </text>
    </comment>
    <comment ref="AD2" authorId="0" shapeId="0" xr:uid="{B1536114-237B-4B93-82B2-107F2FED3F8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05
SBCC 7/17/20</t>
        </r>
      </text>
    </comment>
    <comment ref="AE2" authorId="0" shapeId="0" xr:uid="{B1502639-4FA7-4E51-B56B-F3EA34583E6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15
SBCC 11/17/17
FC 03
SBCC 12/11/19</t>
        </r>
      </text>
    </comment>
    <comment ref="AF2" authorId="0" shapeId="0" xr:uid="{F1153880-E228-408D-B4C8-DBBDCD88FD9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05
SBCC 2/21/20</t>
        </r>
      </text>
    </comment>
    <comment ref="AG2" authorId="0" shapeId="0" xr:uid="{F11CF092-DB42-408E-9FE8-673878B9253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05
SBCC 2/21/20</t>
        </r>
      </text>
    </comment>
    <comment ref="AH2" authorId="0" shapeId="0" xr:uid="{DB02E7DD-6BDF-4247-A1A8-0D8978E15CE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Hans 3/13/20</t>
        </r>
      </text>
    </comment>
    <comment ref="AL2" authorId="0" shapeId="0" xr:uid="{CBF77DD1-B711-405F-9AFC-AE814C94A14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06
SBCC 1/18/19</t>
        </r>
      </text>
    </comment>
    <comment ref="AM2" authorId="0" shapeId="0" xr:uid="{13559A4C-651E-4821-98B5-6F23EFDAE8D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10/18/19
</t>
        </r>
      </text>
    </comment>
    <comment ref="AN2" authorId="0" shapeId="0" xr:uid="{2C5FBA67-3411-422C-8EE3-FDB493A0282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07
SBCC 8/21/20</t>
        </r>
      </text>
    </comment>
    <comment ref="AO2" authorId="0" shapeId="0" xr:uid="{02DECD06-77A7-49FB-AA38-B9EA799E22A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Hans 12/10/19</t>
        </r>
      </text>
    </comment>
    <comment ref="AP2" authorId="0" shapeId="0" xr:uid="{4F9B590A-2D2F-4123-8B3E-6BBB7F1EF2C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5/15/20
*Unexpended funds reallocated on 7/31/20</t>
        </r>
      </text>
    </comment>
    <comment ref="AS2" authorId="0" shapeId="0" xr:uid="{A597D3A9-F8B4-460A-936D-51FD0578535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03
SBCC 10/18/19</t>
        </r>
      </text>
    </comment>
    <comment ref="AU2" authorId="0" shapeId="0" xr:uid="{2D77D7E4-AF40-4EA5-8655-60BF20D0C00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Carver 9/15/20</t>
        </r>
      </text>
    </comment>
    <comment ref="AW2" authorId="0" shapeId="0" xr:uid="{7C4DD3CD-29D6-4B59-B1A9-DBA3BFE777F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Carver 8/4/20, per FC 08, SBCC 7/17/20</t>
        </r>
      </text>
    </comment>
    <comment ref="AX2" authorId="0" shapeId="0" xr:uid="{B2044A18-3B15-4EF7-A13C-4E9430FC43C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08
SBCC 7/17/20</t>
        </r>
      </text>
    </comment>
    <comment ref="BA2" authorId="0" shapeId="0" xr:uid="{A80FF179-382F-4EA3-AAA0-C4C41AF1C22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Presdent Carver, per FC 08, SBCC 7/17/20</t>
        </r>
      </text>
    </comment>
    <comment ref="BD2" authorId="0" shapeId="0" xr:uid="{482C6C56-8216-41ED-97A5-53E65692A87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04
SBCC 8/21/20</t>
        </r>
      </text>
    </comment>
    <comment ref="BG2" authorId="0" shapeId="0" xr:uid="{1B711393-4353-48CF-9035-5071F3E0898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03
SBCC 2/19/21</t>
        </r>
      </text>
    </comment>
    <comment ref="BH2" authorId="0" shapeId="0" xr:uid="{8BF95820-8108-431C-90F4-3871D12DB2E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06
SBCC 7/17/20</t>
        </r>
      </text>
    </comment>
    <comment ref="BI2" authorId="0" shapeId="0" xr:uid="{1CC2DE00-66E8-4D65-A100-4B1BB07E63A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09
SBCC 1/15/21</t>
        </r>
      </text>
    </comment>
    <comment ref="BJ2" authorId="0" shapeId="0" xr:uid="{3C4F0CAC-C4F5-4B84-85C9-F5D041CF9A9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04
SBCC 2/19/21</t>
        </r>
      </text>
    </comment>
    <comment ref="BK2" authorId="0" shapeId="0" xr:uid="{60B54067-EAA6-4554-A69D-7BB117BD2A3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Presdent Carver on 9/23, per FC 08, SBCC 7/17/20</t>
        </r>
      </text>
    </comment>
    <comment ref="BL2" authorId="0" shapeId="0" xr:uid="{B031B4B4-052C-4B41-A4A8-5D7FD11F129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2/19/21</t>
        </r>
      </text>
    </comment>
    <comment ref="BM2" authorId="0" shapeId="0" xr:uid="{3E98B9E0-2177-49AA-AEFE-EA362C622DD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Carver, per:  
FC 09
SBCC 7/17/20
FC 03
SBCC 9/18/20</t>
        </r>
      </text>
    </comment>
    <comment ref="BN2" authorId="0" shapeId="0" xr:uid="{1C6DE4BA-33FC-48B2-801A-6858BDC1CA49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Carver, per:  
FC 09
SBCC 7/17/20
FC 03
SBCC 9/18/20</t>
        </r>
      </text>
    </comment>
    <comment ref="BP2" authorId="0" shapeId="0" xr:uid="{A361E66F-879C-41EE-9E81-4077FAC1D4A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12
SBCC 5/15/20
*Unexpended funds reallocated on 7/31/20</t>
        </r>
      </text>
    </comment>
    <comment ref="BS2" authorId="0" shapeId="0" xr:uid="{CDBFE579-D9E7-4833-8F56-893CCDF7382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6/5/20
*Unexpended funds reallocated on 7/31/20</t>
        </r>
      </text>
    </comment>
    <comment ref="BV2" authorId="0" shapeId="0" xr:uid="{2BD0C49E-5DD4-47A4-A324-4109D747638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06
SBCC 9/18/20</t>
        </r>
      </text>
    </comment>
    <comment ref="BY2" authorId="0" shapeId="0" xr:uid="{F822BB65-D3B1-4B96-918E-9CC3DE1990D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9/18/20</t>
        </r>
      </text>
    </comment>
    <comment ref="CB2" authorId="0" shapeId="0" xr:uid="{B3D85CC5-28AD-4970-A5C3-94D0F9AE779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04A
SBCC 4/17/20</t>
        </r>
      </text>
    </comment>
    <comment ref="CD2" authorId="0" shapeId="0" xr:uid="{28D3E302-2901-4289-9D03-0C2D71E5AFC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8/21/20</t>
        </r>
      </text>
    </comment>
    <comment ref="CE2" authorId="0" shapeId="0" xr:uid="{01E29AC7-0A75-47AC-98B8-E961F9D5EE7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6/26/20</t>
        </r>
      </text>
    </comment>
    <comment ref="CF2" authorId="0" shapeId="0" xr:uid="{3751ECFA-E242-468D-8E45-3213827FD27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6/26/20</t>
        </r>
      </text>
    </comment>
    <comment ref="CG2" authorId="0" shapeId="0" xr:uid="{E32D1653-C73D-4CBB-A63F-5C281C40450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Carver 9/15/20</t>
        </r>
      </text>
    </comment>
    <comment ref="CH2" authorId="0" shapeId="0" xr:uid="{83615D53-98CC-4D46-BD6E-8DB0027B0AC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07
SBCC 9/18/20</t>
        </r>
      </text>
    </comment>
    <comment ref="AH3" authorId="0" shapeId="0" xr:uid="{E303DD5A-0114-430C-9487-0DD2F4D05B3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Per allocation memo, DACJJ has pre-approved CF of these funds through FY 20/21</t>
        </r>
      </text>
    </comment>
    <comment ref="AI3" authorId="0" shapeId="0" xr:uid="{E5869419-F68D-4904-A688-EC26A4ECD3EE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Per allocation memo, DACJJ has pre-approved CF of these funds through FY 20/21</t>
        </r>
      </text>
    </comment>
    <comment ref="C4" authorId="0" shapeId="0" xr:uid="{28384341-1B0E-41F8-A329-18F14A468E3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Includes $41.5 million from COVID-19 funding to support enrollment growth (voc 51) - pg. 62-63 of FY 20-21 Budget Package</t>
        </r>
      </text>
    </comment>
    <comment ref="AN6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brinnv:</t>
        </r>
        <r>
          <rPr>
            <sz val="9"/>
            <color indexed="81"/>
            <rFont val="Tahoma"/>
            <family val="2"/>
          </rPr>
          <t xml:space="preserve">
Voc 74 (Career Service Only)
Purp. Codes 320, 321, 322, 323, 923 (325-Federal Admin. Only)
</t>
        </r>
      </text>
    </comment>
    <comment ref="BD6" authorId="0" shapeId="0" xr:uid="{AE227161-5F8F-46D4-968E-5EEB776A7F8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369 / 80
Equip:  940 / 43</t>
        </r>
      </text>
    </comment>
    <comment ref="BE6" authorId="0" shapeId="0" xr:uid="{240314DF-A6E6-444B-A3ED-21F66AF8FBB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369 / 80
Equip:  940 / 43</t>
        </r>
      </text>
    </comment>
    <comment ref="BF6" authorId="0" shapeId="0" xr:uid="{D026E1F8-F1BB-4729-995A-0589F854F4A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369 / 80
Equip:  940 / 43</t>
        </r>
      </text>
    </comment>
    <comment ref="BM6" authorId="0" shapeId="0" xr:uid="{12D056D2-D4E0-4268-B40F-B02DB73EBC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431 / 80
Equip:  944 / 80</t>
        </r>
      </text>
    </comment>
    <comment ref="BN6" authorId="0" shapeId="0" xr:uid="{08CB7518-4747-4287-9DC6-74D65E438B5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431 / 80
Equip:  944 / 80</t>
        </r>
      </text>
    </comment>
    <comment ref="BO6" authorId="0" shapeId="0" xr:uid="{71CAC8DE-3BDD-4B62-81A8-F1395BFC6259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431 / 80
Equip:  944 / 80</t>
        </r>
      </text>
    </comment>
    <comment ref="BV6" authorId="0" shapeId="0" xr:uid="{604AFA51-78E1-44F9-B551-8F9D7C6FF3C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513 / 80
Equip:  943 / 80</t>
        </r>
      </text>
    </comment>
    <comment ref="BW6" authorId="0" shapeId="0" xr:uid="{675EC3A4-0D55-43A5-BB34-83A2F3B6D858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513 / 80
Equip:  943 / 80</t>
        </r>
      </text>
    </comment>
    <comment ref="BX6" authorId="0" shapeId="0" xr:uid="{635CB8BA-40D1-4995-88F8-4A7ED20095D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513 / 80
Equip:  943 / 80</t>
        </r>
      </text>
    </comment>
    <comment ref="CC6" authorId="0" shapeId="0" xr:uid="{51ED271D-7C73-4585-A6D3-5F0AA1FF90B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Must use object code 539750</t>
        </r>
      </text>
    </comment>
    <comment ref="D48" authorId="0" shapeId="0" xr:uid="{F1A81CFE-334F-47ED-AF62-A3FA197919C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Includes additional allocation (CF from 19/20) for $541,903.  Funding period 7/1/20 - 6/30/21</t>
        </r>
      </text>
    </comment>
  </commentList>
</comments>
</file>

<file path=xl/sharedStrings.xml><?xml version="1.0" encoding="utf-8"?>
<sst xmlns="http://schemas.openxmlformats.org/spreadsheetml/2006/main" count="680" uniqueCount="330">
  <si>
    <t>TOTAL</t>
  </si>
  <si>
    <t>Original/Net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</si>
  <si>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</si>
  <si>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</si>
  <si>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</si>
  <si>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</si>
  <si>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</si>
  <si>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</si>
  <si>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</si>
  <si>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</si>
  <si>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</si>
  <si>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</si>
  <si>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</si>
  <si>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</si>
  <si>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</si>
  <si>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</si>
  <si>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</si>
  <si>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</si>
  <si>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</si>
  <si>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</si>
  <si>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</si>
  <si>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</si>
  <si>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</si>
  <si>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</si>
  <si>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</si>
  <si>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</si>
  <si>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</si>
  <si>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</si>
  <si>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</si>
  <si>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</si>
  <si>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</si>
  <si>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</si>
  <si>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</si>
  <si>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</si>
  <si>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</si>
  <si>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</si>
  <si>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</si>
  <si>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</si>
  <si>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</si>
  <si>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</si>
  <si>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</si>
  <si>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</si>
  <si>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</si>
  <si>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</si>
  <si>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</si>
  <si>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</si>
  <si>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</si>
  <si>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</si>
  <si>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</si>
  <si>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</si>
  <si>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</si>
  <si>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</si>
  <si>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</si>
  <si>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</si>
  <si>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</si>
  <si>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</si>
  <si>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</si>
  <si>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</si>
  <si>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</si>
  <si>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</si>
  <si>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Purpose 361</t>
  </si>
  <si>
    <t>Purpose 360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</si>
  <si>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</si>
  <si>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</si>
  <si>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</si>
  <si>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</si>
  <si>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</si>
  <si>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</si>
  <si>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</si>
  <si>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</si>
  <si>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</si>
  <si>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</si>
  <si>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</si>
  <si>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</si>
  <si>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</si>
  <si>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</si>
  <si>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</si>
  <si>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</si>
  <si>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</si>
  <si>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</si>
  <si>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</si>
  <si>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</si>
  <si>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</si>
  <si>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</si>
  <si>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</si>
  <si>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</si>
  <si>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</si>
  <si>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</si>
  <si>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</si>
  <si>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</si>
  <si>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</si>
  <si>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</si>
  <si>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</si>
  <si>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</si>
  <si>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</si>
  <si>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</si>
  <si>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</si>
  <si>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</si>
  <si>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</si>
  <si>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</si>
  <si>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</si>
  <si>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</si>
  <si>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</si>
  <si>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</si>
  <si>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</si>
  <si>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</si>
  <si>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</si>
  <si>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</si>
  <si>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</si>
  <si>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</si>
  <si>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</si>
  <si>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Minority</t>
  </si>
  <si>
    <t>Male</t>
  </si>
  <si>
    <t>Voc 94</t>
  </si>
  <si>
    <t>STATE GENERAL FUNDS</t>
  </si>
  <si>
    <t>Voc 56</t>
  </si>
  <si>
    <t>Voc 31</t>
  </si>
  <si>
    <t>NC Motorcycle</t>
  </si>
  <si>
    <t>Safety</t>
  </si>
  <si>
    <t>Voc 45</t>
  </si>
  <si>
    <t>Scholars</t>
  </si>
  <si>
    <t>GOLDEN LEAF FOUNDATION</t>
  </si>
  <si>
    <t>REGISTRATION TAX RECEIPTS</t>
  </si>
  <si>
    <t>Purp 550, Voc 80</t>
  </si>
  <si>
    <t>STATE FUNDS: SL 2019-224</t>
  </si>
  <si>
    <t>Voc 30</t>
  </si>
  <si>
    <t>US DEPT. OF EDUCATION</t>
  </si>
  <si>
    <t>Purp 373, Voc 76</t>
  </si>
  <si>
    <t>Voc 75</t>
  </si>
  <si>
    <t>Equipment</t>
  </si>
  <si>
    <t>Carryforward</t>
  </si>
  <si>
    <t>Purp 920, Voc 97</t>
  </si>
  <si>
    <t xml:space="preserve"> </t>
  </si>
  <si>
    <t>Purp 930, Voc 97</t>
  </si>
  <si>
    <t>Purp 321, Voc 97</t>
  </si>
  <si>
    <t>Other PBF</t>
  </si>
  <si>
    <t>Voc 97</t>
  </si>
  <si>
    <t>Hurricane Florence</t>
  </si>
  <si>
    <t>Voc 96</t>
  </si>
  <si>
    <t>US DEPT. OF LABOR</t>
  </si>
  <si>
    <t>ApprenticeshipNC</t>
  </si>
  <si>
    <t>Purp 367, Voc 80</t>
  </si>
  <si>
    <t>Voc 79</t>
  </si>
  <si>
    <t xml:space="preserve">Voc 97 &amp; 74 </t>
  </si>
  <si>
    <t>NC Career Coach</t>
  </si>
  <si>
    <t>Voc 81</t>
  </si>
  <si>
    <t>Longevity</t>
  </si>
  <si>
    <t>IEL/CE</t>
  </si>
  <si>
    <t>WIOA, Title II:  AEFLA                      Section 243</t>
  </si>
  <si>
    <t>Corrections Ed &amp; Other Institutionalized Ind.</t>
  </si>
  <si>
    <t>WIOA, Title II:  AEFLA                            Section 225</t>
  </si>
  <si>
    <t>Funds:  7/1/19 - 6/30/21</t>
  </si>
  <si>
    <t>Federal Basic Skills</t>
  </si>
  <si>
    <t>WIOA, Title II:  AEFLA                            Section 231</t>
  </si>
  <si>
    <t>NC DEPT OF PUBLIC SAFETY</t>
  </si>
  <si>
    <t>Virtual Learning</t>
  </si>
  <si>
    <t>Community Centers</t>
  </si>
  <si>
    <t>STATE BOARD RESERVE FUNDS</t>
  </si>
  <si>
    <t>2020 COVID-19 Recovery Act</t>
  </si>
  <si>
    <t>Funding:  6/1/20 - 12/30/20</t>
  </si>
  <si>
    <t>Small Business Center</t>
  </si>
  <si>
    <t>Counseling - COVID-19</t>
  </si>
  <si>
    <t>Purp 362, Voc 80</t>
  </si>
  <si>
    <t>College Career Counselors and</t>
  </si>
  <si>
    <t>Academic Advisors - COVID-19</t>
  </si>
  <si>
    <t>Purp 511, Voc 80</t>
  </si>
  <si>
    <t>Alloc:  6/12/2020</t>
  </si>
  <si>
    <t xml:space="preserve">Law Enforcement </t>
  </si>
  <si>
    <t>Alloc:  6/1/2020</t>
  </si>
  <si>
    <t>Funding:  6/5/20 - 12/30/20</t>
  </si>
  <si>
    <t>Virtual Student</t>
  </si>
  <si>
    <t>Tutoring - COVID-19</t>
  </si>
  <si>
    <t>Purp 512, Voc 80</t>
  </si>
  <si>
    <t>7/1/20 - 6/30/21</t>
  </si>
  <si>
    <t>Alloc:  7/10/2020</t>
  </si>
  <si>
    <t xml:space="preserve">Personal Protective </t>
  </si>
  <si>
    <t>Equipment Testing - COVID-19</t>
  </si>
  <si>
    <t>Purp 941, Voc 80</t>
  </si>
  <si>
    <t>Funding:  7/1/20 - 12/30/20</t>
  </si>
  <si>
    <t>Funds:  7/1/20 - 12/31/20</t>
  </si>
  <si>
    <t>Community Research Project - Ph. III - Machine Learning - CF</t>
  </si>
  <si>
    <t>Alloc:  8/3/20</t>
  </si>
  <si>
    <t>Alloc:  5/15/2020</t>
  </si>
  <si>
    <t>Funds:  7/1/20 - 6/30/21</t>
  </si>
  <si>
    <t>Carryforward                   FY 2020-2021</t>
  </si>
  <si>
    <t>Alloc:  8/3/2020</t>
  </si>
  <si>
    <t>Alloc:  6/26/2020</t>
  </si>
  <si>
    <t>Career &amp; College Alignment</t>
  </si>
  <si>
    <t>Lead College</t>
  </si>
  <si>
    <t>FTE Losses FY 20-21 - CF</t>
  </si>
  <si>
    <t>Alloc:  1/18/2020</t>
  </si>
  <si>
    <t>Alloc:  8/4/2020</t>
  </si>
  <si>
    <t>Mental Health and Safety</t>
  </si>
  <si>
    <t>Alloc:  6/14/2020</t>
  </si>
  <si>
    <t>Funds:  8/10/20 - 6/30/21</t>
  </si>
  <si>
    <t>Alloc: 8/10/20</t>
  </si>
  <si>
    <t>FY 2020-2021</t>
  </si>
  <si>
    <t>Enhanced Online Learning</t>
  </si>
  <si>
    <t>Biomanufacturing Industry FY 2020-21</t>
  </si>
  <si>
    <t>Purp 368, Voc 80</t>
  </si>
  <si>
    <t>Alloc:  8/14/20</t>
  </si>
  <si>
    <t>FY 2020-21</t>
  </si>
  <si>
    <t>Alloc:  8/24/20</t>
  </si>
  <si>
    <t>GEAR UP</t>
  </si>
  <si>
    <t>Alloc:  8/19/20</t>
  </si>
  <si>
    <t>(1st Year of FY 2020-2023 Cohort)</t>
  </si>
  <si>
    <t>(2nd Year of FY 2019-2022 Cohort)</t>
  </si>
  <si>
    <t>REVERSION</t>
  </si>
  <si>
    <t>Quality Matters Online Learning</t>
  </si>
  <si>
    <t xml:space="preserve">Officer Training </t>
  </si>
  <si>
    <t>Funds:  7/1/20 - 6/30/20</t>
  </si>
  <si>
    <t>Alloc:  08/06/20</t>
  </si>
  <si>
    <t>Alloc:  8/7/20</t>
  </si>
  <si>
    <t>Alloc:  8/31/20</t>
  </si>
  <si>
    <t>Alloc:  9/15/20</t>
  </si>
  <si>
    <t>Funds:  11/1/20 - 10/31/21</t>
  </si>
  <si>
    <t>Apprenticeship State Expansion Grant</t>
  </si>
  <si>
    <t>Regional Coordinators</t>
  </si>
  <si>
    <t>Purp 514, Voc 80</t>
  </si>
  <si>
    <t xml:space="preserve">Support for </t>
  </si>
  <si>
    <t>Online Testing</t>
  </si>
  <si>
    <t>Alloc:  9/18/2020</t>
  </si>
  <si>
    <t>Alloc:  9/22/20</t>
  </si>
  <si>
    <t>Funding:  9/18/20 - 12/30/20</t>
  </si>
  <si>
    <t xml:space="preserve">Rural College </t>
  </si>
  <si>
    <t>Broadband Access</t>
  </si>
  <si>
    <t>Purp 431, Voc 80</t>
  </si>
  <si>
    <t>Personal Protective Equip</t>
  </si>
  <si>
    <t>and COVID-19 Testing</t>
  </si>
  <si>
    <t>Purp 513, Voc 80</t>
  </si>
  <si>
    <t xml:space="preserve">Health Care and </t>
  </si>
  <si>
    <t>First Responder Program Equip</t>
  </si>
  <si>
    <t>Purp 942, Voc 80</t>
  </si>
  <si>
    <t>Equipment Training - COVID-19</t>
  </si>
  <si>
    <t>Alloc:  9/11/20</t>
  </si>
  <si>
    <t>Skills Labs</t>
  </si>
  <si>
    <t>Alloc:  9/9/20</t>
  </si>
  <si>
    <t>Funds:  8/24/20 - 9/30/22</t>
  </si>
  <si>
    <t>Governor's Emergency</t>
  </si>
  <si>
    <t>Education Relief - GEER Scholarship</t>
  </si>
  <si>
    <t>Purp 551, Voc 80</t>
  </si>
  <si>
    <t>REALLOCATION</t>
  </si>
  <si>
    <t>Project Skill Up</t>
  </si>
  <si>
    <t>Purp 358, Voc 80</t>
  </si>
  <si>
    <t>TOBACCO TRUST FUND</t>
  </si>
  <si>
    <t>Alloc:  9/4/20</t>
  </si>
  <si>
    <t>BioNetwork</t>
  </si>
  <si>
    <t>Host Colleges</t>
  </si>
  <si>
    <t>Purp 369, Voc 80</t>
  </si>
  <si>
    <t>Funding 7/1/20 - 12/30/20</t>
  </si>
  <si>
    <t>Clean Room Equip</t>
  </si>
  <si>
    <t>to Test PPE</t>
  </si>
  <si>
    <t>Realloc:  Ongoing</t>
  </si>
  <si>
    <t>Funding 6/1/20 - 12/30/20</t>
  </si>
  <si>
    <t>CTE RESERVE FUNDS</t>
  </si>
  <si>
    <t>Alloc:  9/18/20</t>
  </si>
  <si>
    <t>Funding:  7/1/20 - 6/30/21</t>
  </si>
  <si>
    <t>at Rural Colleges</t>
  </si>
  <si>
    <t>Voc 28</t>
  </si>
  <si>
    <t xml:space="preserve">Improving CTE </t>
  </si>
  <si>
    <t>Funds:  7/1/20 - 7/30/21</t>
  </si>
  <si>
    <t>Funds:  7/1/20 -7/30/21</t>
  </si>
  <si>
    <t>Funds: 7/1/20 - 10/31/20</t>
  </si>
  <si>
    <t>FY 2020-2021 CF</t>
  </si>
  <si>
    <t>Alloc:  8/13/2020</t>
  </si>
  <si>
    <t>Funds:  8/3/20 - 12/30/20</t>
  </si>
  <si>
    <t>Funding:  8/10/20 - 12/30/20</t>
  </si>
  <si>
    <t>Alloc:  9/23/20</t>
  </si>
  <si>
    <t xml:space="preserve">Pilot Digital Literacy </t>
  </si>
  <si>
    <t>Training for CCR Programs</t>
  </si>
  <si>
    <t>Purp 374, Voc 80</t>
  </si>
  <si>
    <t>Realloc:  10/12/2020</t>
  </si>
  <si>
    <t>Alloc:  Ongoing</t>
  </si>
  <si>
    <t>Alloc:  11/3/20</t>
  </si>
  <si>
    <t xml:space="preserve">Recividism Pilot </t>
  </si>
  <si>
    <t>Project</t>
  </si>
  <si>
    <t>Voc 84</t>
  </si>
  <si>
    <t>Rev:  Ongoing</t>
  </si>
  <si>
    <t>Alloc:  12/4/20</t>
  </si>
  <si>
    <t>Improving CTE</t>
  </si>
  <si>
    <t>Carry Over Funds</t>
  </si>
  <si>
    <t>Voc 10-19</t>
  </si>
  <si>
    <t>Perkins CTE Act of 2006</t>
  </si>
  <si>
    <t>Rev:  12/16/20</t>
  </si>
  <si>
    <t>DAVIDSON-DAVIE CC</t>
  </si>
  <si>
    <t>State General Funds</t>
  </si>
  <si>
    <t>Budget Call Back</t>
  </si>
  <si>
    <t>Rev:  1/15/21</t>
  </si>
  <si>
    <t>Alloc:  1/22/21</t>
  </si>
  <si>
    <t>Customized Training</t>
  </si>
  <si>
    <t>Purpose 365</t>
  </si>
  <si>
    <t>Bus/Ind Support - Instructional</t>
  </si>
  <si>
    <t>Regional Trainers</t>
  </si>
  <si>
    <t>Projects</t>
  </si>
  <si>
    <t>Realloc:  10/21/20, 2/16/21</t>
  </si>
  <si>
    <t>GOLDEN LEAF COVID FUNDS</t>
  </si>
  <si>
    <t>Realloc:  1/25/21</t>
  </si>
  <si>
    <t>Funds:  1/1/21 - 6/30/21</t>
  </si>
  <si>
    <t>Golden Leaf</t>
  </si>
  <si>
    <t>Scholars COVID-19 Funding</t>
  </si>
  <si>
    <t>Realloc:  1/26/21</t>
  </si>
  <si>
    <t>Funds:  1/26/21 - 6/30/21</t>
  </si>
  <si>
    <t>Law Enforcement Officer Training</t>
  </si>
  <si>
    <t>Alloc:  1/28/21</t>
  </si>
  <si>
    <t>Funds:  2/1/21 - 6/30/21</t>
  </si>
  <si>
    <t>Prof. Dev. &amp; Tech Assistance for Digital Lit</t>
  </si>
  <si>
    <t>Alloc:  2/5/21</t>
  </si>
  <si>
    <t>Funds:  2/5/21 - 6/30/21</t>
  </si>
  <si>
    <t>Small College Prison (Designated)</t>
  </si>
  <si>
    <t>Small College Prison (Discretionary)</t>
  </si>
  <si>
    <t>Voc 82</t>
  </si>
  <si>
    <t>Online</t>
  </si>
  <si>
    <t>Alloc:  2/19/21</t>
  </si>
  <si>
    <t>Funds:  2/19/21 - 6/30/21</t>
  </si>
  <si>
    <t>Digital Literacy Training Pilot, Phase 2</t>
  </si>
  <si>
    <t>WIOA, Title II: AEFLA  State Leadership Funds</t>
  </si>
  <si>
    <t>Purp 374, Voc 73</t>
  </si>
  <si>
    <t>Purp 373, Voc 73</t>
  </si>
  <si>
    <t>Funding for Promoting Innovation Initiative</t>
  </si>
  <si>
    <t>Purp 373, Voc 80</t>
  </si>
  <si>
    <t>Funding:  2/19/21 - 6/30/21</t>
  </si>
  <si>
    <t>Correction Education Curriculum Improvement Plan</t>
  </si>
  <si>
    <t>WIOA, Title II:  AEFLA                      Section 231</t>
  </si>
  <si>
    <t>Budget Call Back #2</t>
  </si>
  <si>
    <t>Rev:  3/2/21</t>
  </si>
  <si>
    <t>Basic Skills Performance Based Funding</t>
  </si>
  <si>
    <t>Inst. Resources</t>
  </si>
  <si>
    <t>Carryforward from 19/20</t>
  </si>
  <si>
    <t>Alloc:  4/6/21</t>
  </si>
  <si>
    <t>Rev:  1/22/21, 4/1/21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</si>
</sst>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49">
    <xf numFmtId="0" fontId="0" fillId="0" borderId="0" xfId="0"/>
    <xf numFmtId="14" fontId="1" fillId="0" borderId="0" xfId="0" applyNumberFormat="1" applyFont="1"/>
    <xf numFmtId="0" fontId="0" fillId="0" borderId="0" xfId="0" applyFont="1"/>
    <xf numFmtId="4" fontId="0" fillId="0" borderId="0" xfId="0" applyNumberFormat="1" applyFont="1"/>
    <xf numFmtId="0" fontId="9" fillId="0" borderId="0" xfId="0" applyFont="1"/>
    <xf numFmtId="0" fontId="7" fillId="0" borderId="0" xfId="0" applyFont="1" applyFill="1"/>
    <xf numFmtId="4" fontId="4" fillId="0" borderId="0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3" fontId="0" fillId="2" borderId="0" xfId="1" applyFont="1" applyFill="1" applyAlignment="1">
      <alignment horizontal="center"/>
    </xf>
    <xf numFmtId="43" fontId="0" fillId="0" borderId="0" xfId="1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Font="1" applyProtection="1"/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 applyProtection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14" fontId="5" fillId="2" borderId="4" xfId="0" quotePrefix="1" applyNumberFormat="1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0" fillId="0" borderId="4" xfId="1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 applyAlignment="1" applyProtection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4" fontId="0" fillId="0" borderId="0" xfId="0" applyNumberFormat="1" applyFont="1" applyBorder="1" applyProtection="1"/>
    <xf numFmtId="4" fontId="0" fillId="0" borderId="0" xfId="0" applyNumberFormat="1" applyFont="1" applyBorder="1" applyAlignment="1" applyProtection="1">
      <alignment wrapText="1"/>
    </xf>
    <xf numFmtId="4" fontId="0" fillId="0" borderId="0" xfId="0" applyNumberFormat="1" applyFont="1" applyBorder="1" applyAlignment="1" applyProtection="1">
      <alignment horizontal="center"/>
    </xf>
    <xf numFmtId="4" fontId="0" fillId="0" borderId="0" xfId="0" applyNumberFormat="1" applyFont="1" applyBorder="1" applyAlignment="1" applyProtection="1">
      <alignment horizontal="right"/>
    </xf>
    <xf numFmtId="43" fontId="0" fillId="0" borderId="6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4" xfId="1" applyFont="1" applyFill="1" applyBorder="1"/>
    <xf numFmtId="43" fontId="0" fillId="0" borderId="6" xfId="1" applyFont="1" applyFill="1" applyBorder="1"/>
    <xf numFmtId="0" fontId="7" fillId="0" borderId="0" xfId="0" applyFont="1" applyFill="1" applyAlignment="1">
      <alignment vertical="center"/>
    </xf>
    <xf numFmtId="43" fontId="0" fillId="0" borderId="7" xfId="1" applyFont="1" applyFill="1" applyBorder="1"/>
    <xf numFmtId="43" fontId="0" fillId="0" borderId="8" xfId="1" applyFont="1" applyFill="1" applyBorder="1"/>
    <xf numFmtId="43" fontId="0" fillId="0" borderId="2" xfId="1" applyFont="1" applyFill="1" applyBorder="1" applyAlignment="1">
      <alignment horizontal="center"/>
    </xf>
    <xf numFmtId="43" fontId="0" fillId="0" borderId="9" xfId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/>
    </xf>
    <xf numFmtId="43" fontId="2" fillId="0" borderId="7" xfId="1" applyFont="1" applyFill="1" applyBorder="1" applyAlignment="1"/>
    <xf numFmtId="43" fontId="0" fillId="0" borderId="11" xfId="1" applyFont="1" applyFill="1" applyBorder="1"/>
    <xf numFmtId="43" fontId="8" fillId="0" borderId="12" xfId="1" applyFont="1" applyFill="1" applyBorder="1" applyAlignment="1"/>
    <xf numFmtId="4" fontId="1" fillId="0" borderId="4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ont="1" applyFill="1"/>
    <xf numFmtId="4" fontId="0" fillId="0" borderId="0" xfId="0" applyNumberFormat="1" applyFont="1" applyFill="1"/>
    <xf numFmtId="4" fontId="0" fillId="0" borderId="0" xfId="0" applyNumberFormat="1" applyFont="1" applyFill="1" applyBorder="1"/>
    <xf numFmtId="4" fontId="1" fillId="0" borderId="3" xfId="0" applyNumberFormat="1" applyFont="1" applyFill="1" applyBorder="1" applyAlignment="1">
      <alignment horizontal="center"/>
    </xf>
    <xf numFmtId="14" fontId="5" fillId="0" borderId="4" xfId="0" quotePrefix="1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4" fontId="7" fillId="0" borderId="4" xfId="0" quotePrefix="1" applyNumberFormat="1" applyFont="1" applyFill="1" applyBorder="1" applyAlignment="1">
      <alignment horizontal="center" vertical="center" wrapText="1"/>
    </xf>
    <xf numFmtId="4" fontId="7" fillId="2" borderId="4" xfId="0" quotePrefix="1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 wrapText="1"/>
    </xf>
    <xf numFmtId="43" fontId="2" fillId="0" borderId="4" xfId="1" applyFont="1" applyBorder="1" applyAlignment="1">
      <alignment horizontal="center"/>
    </xf>
    <xf numFmtId="4" fontId="0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43" fontId="2" fillId="0" borderId="4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4" fontId="1" fillId="4" borderId="3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1" fillId="5" borderId="3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14" fontId="1" fillId="5" borderId="4" xfId="0" applyNumberFormat="1" applyFont="1" applyFill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quotePrefix="1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1" fillId="7" borderId="3" xfId="0" applyNumberFormat="1" applyFont="1" applyFill="1" applyBorder="1" applyAlignment="1">
      <alignment horizontal="center"/>
    </xf>
    <xf numFmtId="14" fontId="5" fillId="7" borderId="4" xfId="0" quotePrefix="1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1" fillId="8" borderId="3" xfId="0" applyNumberFormat="1" applyFont="1" applyFill="1" applyBorder="1" applyAlignment="1">
      <alignment horizontal="center"/>
    </xf>
    <xf numFmtId="14" fontId="5" fillId="8" borderId="4" xfId="0" quotePrefix="1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1" fillId="9" borderId="3" xfId="0" applyNumberFormat="1" applyFont="1" applyFill="1" applyBorder="1" applyAlignment="1">
      <alignment horizontal="center"/>
    </xf>
    <xf numFmtId="14" fontId="5" fillId="9" borderId="4" xfId="0" quotePrefix="1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quotePrefix="1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43" fontId="0" fillId="0" borderId="7" xfId="1" applyFont="1" applyFill="1" applyBorder="1" applyAlignment="1">
      <alignment horizontal="center"/>
    </xf>
    <xf numFmtId="43" fontId="0" fillId="0" borderId="8" xfId="1" applyFont="1" applyFill="1" applyBorder="1" applyAlignment="1">
      <alignment horizontal="center"/>
    </xf>
    <xf numFmtId="4" fontId="7" fillId="0" borderId="7" xfId="0" quotePrefix="1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/>
    </xf>
    <xf numFmtId="43" fontId="0" fillId="0" borderId="4" xfId="1" applyFont="1" applyBorder="1"/>
    <xf numFmtId="4" fontId="1" fillId="11" borderId="3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14" fontId="5" fillId="11" borderId="4" xfId="0" quotePrefix="1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1" fillId="12" borderId="3" xfId="0" applyNumberFormat="1" applyFont="1" applyFill="1" applyBorder="1" applyAlignment="1">
      <alignment horizontal="center"/>
    </xf>
    <xf numFmtId="14" fontId="5" fillId="12" borderId="4" xfId="0" quotePrefix="1" applyNumberFormat="1" applyFont="1" applyFill="1" applyBorder="1" applyAlignment="1">
      <alignment horizontal="center"/>
    </xf>
    <xf numFmtId="14" fontId="1" fillId="12" borderId="4" xfId="0" applyNumberFormat="1" applyFont="1" applyFill="1" applyBorder="1" applyAlignment="1">
      <alignment horizontal="center"/>
    </xf>
    <xf numFmtId="4" fontId="7" fillId="12" borderId="4" xfId="0" quotePrefix="1" applyNumberFormat="1" applyFont="1" applyFill="1" applyBorder="1" applyAlignment="1">
      <alignment horizontal="center" vertical="center" wrapText="1"/>
    </xf>
    <xf numFmtId="4" fontId="1" fillId="12" borderId="13" xfId="0" applyNumberFormat="1" applyFont="1" applyFill="1" applyBorder="1" applyAlignment="1">
      <alignment horizontal="center"/>
    </xf>
    <xf numFmtId="14" fontId="1" fillId="12" borderId="7" xfId="0" applyNumberFormat="1" applyFont="1" applyFill="1" applyBorder="1" applyAlignment="1">
      <alignment horizontal="center"/>
    </xf>
    <xf numFmtId="4" fontId="7" fillId="12" borderId="7" xfId="0" quotePrefix="1" applyNumberFormat="1" applyFont="1" applyFill="1" applyBorder="1" applyAlignment="1">
      <alignment horizontal="center" vertical="center" wrapText="1"/>
    </xf>
    <xf numFmtId="4" fontId="1" fillId="13" borderId="4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4" fontId="7" fillId="13" borderId="4" xfId="0" quotePrefix="1" applyNumberFormat="1" applyFont="1" applyFill="1" applyBorder="1" applyAlignment="1">
      <alignment horizontal="center" vertical="center" wrapText="1"/>
    </xf>
    <xf numFmtId="4" fontId="7" fillId="2" borderId="17" xfId="0" quotePrefix="1" applyNumberFormat="1" applyFont="1" applyFill="1" applyBorder="1" applyAlignment="1">
      <alignment horizontal="center" vertical="center" wrapText="1"/>
    </xf>
    <xf numFmtId="4" fontId="7" fillId="0" borderId="17" xfId="0" quotePrefix="1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1" fillId="15" borderId="4" xfId="0" applyNumberFormat="1" applyFont="1" applyFill="1" applyBorder="1" applyAlignment="1">
      <alignment horizontal="center"/>
    </xf>
    <xf numFmtId="14" fontId="5" fillId="15" borderId="4" xfId="0" quotePrefix="1" applyNumberFormat="1" applyFont="1" applyFill="1" applyBorder="1" applyAlignment="1">
      <alignment horizontal="center"/>
    </xf>
    <xf numFmtId="4" fontId="7" fillId="15" borderId="4" xfId="0" quotePrefix="1" applyNumberFormat="1" applyFont="1" applyFill="1" applyBorder="1" applyAlignment="1">
      <alignment horizontal="center" vertical="center" wrapText="1"/>
    </xf>
    <xf numFmtId="4" fontId="1" fillId="16" borderId="3" xfId="0" applyNumberFormat="1" applyFont="1" applyFill="1" applyBorder="1" applyAlignment="1">
      <alignment horizontal="center"/>
    </xf>
    <xf numFmtId="14" fontId="1" fillId="16" borderId="4" xfId="0" applyNumberFormat="1" applyFont="1" applyFill="1" applyBorder="1" applyAlignment="1">
      <alignment horizontal="center"/>
    </xf>
    <xf numFmtId="4" fontId="7" fillId="16" borderId="4" xfId="0" quotePrefix="1" applyNumberFormat="1" applyFont="1" applyFill="1" applyBorder="1" applyAlignment="1">
      <alignment horizontal="center" vertical="center" wrapText="1"/>
    </xf>
    <xf numFmtId="4" fontId="1" fillId="17" borderId="3" xfId="0" applyNumberFormat="1" applyFont="1" applyFill="1" applyBorder="1" applyAlignment="1">
      <alignment horizontal="center"/>
    </xf>
    <xf numFmtId="14" fontId="1" fillId="17" borderId="4" xfId="0" applyNumberFormat="1" applyFont="1" applyFill="1" applyBorder="1" applyAlignment="1">
      <alignment horizontal="center"/>
    </xf>
    <xf numFmtId="4" fontId="7" fillId="17" borderId="4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horizontal="right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0" fontId="0" fillId="0" borderId="0" xfId="0" applyFont="1" applyFill="1" applyBorder="1"/>
    <xf numFmtId="4" fontId="6" fillId="0" borderId="4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7" fillId="2" borderId="14" xfId="0" quotePrefix="1" applyNumberFormat="1" applyFont="1" applyFill="1" applyBorder="1" applyAlignment="1">
      <alignment horizontal="center" vertical="center" wrapText="1"/>
    </xf>
    <xf numFmtId="4" fontId="7" fillId="2" borderId="15" xfId="0" quotePrefix="1" applyNumberFormat="1" applyFont="1" applyFill="1" applyBorder="1" applyAlignment="1">
      <alignment horizontal="center" vertical="center" wrapText="1"/>
    </xf>
    <xf numFmtId="4" fontId="7" fillId="2" borderId="16" xfId="0" quotePrefix="1" applyNumberFormat="1" applyFont="1" applyFill="1" applyBorder="1" applyAlignment="1">
      <alignment horizontal="center" vertical="center" wrapText="1"/>
    </xf>
    <xf numFmtId="4" fontId="7" fillId="0" borderId="14" xfId="0" quotePrefix="1" applyNumberFormat="1" applyFont="1" applyFill="1" applyBorder="1" applyAlignment="1">
      <alignment horizontal="center" vertical="center" wrapText="1"/>
    </xf>
    <xf numFmtId="4" fontId="7" fillId="0" borderId="15" xfId="0" quotePrefix="1" applyNumberFormat="1" applyFont="1" applyFill="1" applyBorder="1" applyAlignment="1">
      <alignment horizontal="center" vertical="center" wrapText="1"/>
    </xf>
    <xf numFmtId="4" fontId="7" fillId="0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FFCC"/>
      <color rgb="FFC3B6D4"/>
      <color rgb="FFDEBDFF"/>
      <color rgb="FFCC99FF"/>
      <color rgb="FFF1FEC2"/>
      <color rgb="FFFFE1F0"/>
      <color rgb="FF79DFDD"/>
      <color rgb="FFFF3300"/>
      <color rgb="FFF2DCDB"/>
      <color rgb="FFFDC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5" x14ac:dyDescent="0.25"/>
  <cols>
    <col min="1" max="1" width="3" customWidth="1"/>
    <col min="2" max="2" width="14" customWidth="1"/>
  </cols>
  <sheetData>
    <row r="1" spans="1:3" x14ac:dyDescent="0.25">
      <c r="A1" s="14" t="s">
        <v>64</v>
      </c>
    </row>
    <row r="2" spans="1:3" x14ac:dyDescent="0.25">
      <c r="A2" t="s">
        <v>68</v>
      </c>
    </row>
    <row r="3" spans="1:3" x14ac:dyDescent="0.25">
      <c r="A3" t="s">
        <v>69</v>
      </c>
    </row>
    <row r="4" spans="1:3" x14ac:dyDescent="0.25">
      <c r="A4" t="s">
        <v>66</v>
      </c>
    </row>
    <row r="5" spans="1:3" x14ac:dyDescent="0.25">
      <c r="A5" t="s">
        <v>67</v>
      </c>
    </row>
    <row r="10" spans="1:3" x14ac:dyDescent="0.25">
      <c r="A10" s="14" t="s">
        <v>65</v>
      </c>
    </row>
    <row r="11" spans="1:3" x14ac:dyDescent="0.25">
      <c r="A11" t="s">
        <v>70</v>
      </c>
    </row>
    <row r="12" spans="1:3" x14ac:dyDescent="0.25">
      <c r="A12" t="s">
        <v>71</v>
      </c>
    </row>
    <row r="13" spans="1:3" x14ac:dyDescent="0.25">
      <c r="A13" t="s">
        <v>72</v>
      </c>
    </row>
    <row r="14" spans="1:3" ht="19.5" customHeight="1" x14ac:dyDescent="0.25">
      <c r="A14" s="15" t="s">
        <v>75</v>
      </c>
      <c r="B14" t="s">
        <v>73</v>
      </c>
      <c r="C14" t="s">
        <v>74</v>
      </c>
    </row>
    <row r="15" spans="1:3" x14ac:dyDescent="0.25">
      <c r="A15" s="15" t="s">
        <v>75</v>
      </c>
      <c r="B15" t="s">
        <v>76</v>
      </c>
      <c r="C15" t="s">
        <v>77</v>
      </c>
    </row>
    <row r="16" spans="1:3" x14ac:dyDescent="0.25">
      <c r="A16" s="15" t="s">
        <v>75</v>
      </c>
      <c r="B16" t="s">
        <v>78</v>
      </c>
      <c r="C16" t="s">
        <v>79</v>
      </c>
    </row>
    <row r="17" spans="1:3" x14ac:dyDescent="0.25">
      <c r="A17" s="15" t="s">
        <v>75</v>
      </c>
      <c r="B17" t="s">
        <v>80</v>
      </c>
      <c r="C17" t="s">
        <v>82</v>
      </c>
    </row>
    <row r="18" spans="1:3" ht="19.5" customHeight="1" x14ac:dyDescent="0.25">
      <c r="A18" s="15" t="s">
        <v>75</v>
      </c>
      <c r="B18" t="s">
        <v>81</v>
      </c>
      <c r="C18" t="s">
        <v>83</v>
      </c>
    </row>
    <row r="19" spans="1:3" ht="19.5" customHeight="1" x14ac:dyDescent="0.25">
      <c r="A19" s="16" t="s">
        <v>87</v>
      </c>
    </row>
    <row r="20" spans="1:3" x14ac:dyDescent="0.25">
      <c r="A20" s="16" t="s">
        <v>84</v>
      </c>
    </row>
    <row r="21" spans="1:3" x14ac:dyDescent="0.25">
      <c r="A21" s="16" t="s">
        <v>85</v>
      </c>
    </row>
    <row r="24" spans="1:3" x14ac:dyDescent="0.25">
      <c r="A24" s="18" t="s">
        <v>88</v>
      </c>
    </row>
    <row r="25" spans="1:3" x14ac:dyDescent="0.25">
      <c r="A25" t="s">
        <v>89</v>
      </c>
    </row>
    <row r="26" spans="1:3" x14ac:dyDescent="0.25">
      <c r="A26" t="s">
        <v>90</v>
      </c>
    </row>
    <row r="27" spans="1:3" x14ac:dyDescent="0.25">
      <c r="A27" t="s">
        <v>91</v>
      </c>
    </row>
    <row r="28" spans="1:3" x14ac:dyDescent="0.25">
      <c r="A28" t="s">
        <v>92</v>
      </c>
    </row>
    <row r="29" spans="1:3" x14ac:dyDescent="0.25">
      <c r="A29" t="s">
        <v>93</v>
      </c>
    </row>
    <row r="30" spans="1:3" x14ac:dyDescent="0.25">
      <c r="A30" t="s">
        <v>94</v>
      </c>
    </row>
    <row r="33" spans="1:2" x14ac:dyDescent="0.25">
      <c r="A33" s="19" t="s">
        <v>95</v>
      </c>
    </row>
    <row r="34" spans="1:2" x14ac:dyDescent="0.25">
      <c r="A34" t="s">
        <v>96</v>
      </c>
    </row>
    <row r="35" spans="1:2" x14ac:dyDescent="0.25">
      <c r="A35" t="s">
        <v>97</v>
      </c>
    </row>
    <row r="36" spans="1:2" x14ac:dyDescent="0.25">
      <c r="A36" t="s">
        <v>98</v>
      </c>
    </row>
    <row r="37" spans="1:2" x14ac:dyDescent="0.25">
      <c r="B37" t="s">
        <v>104</v>
      </c>
    </row>
    <row r="38" spans="1:2" x14ac:dyDescent="0.25">
      <c r="B38" t="s">
        <v>99</v>
      </c>
    </row>
    <row r="39" spans="1:2" x14ac:dyDescent="0.25">
      <c r="B39" t="s">
        <v>100</v>
      </c>
    </row>
    <row r="40" spans="1:2" x14ac:dyDescent="0.25">
      <c r="B40" t="s">
        <v>101</v>
      </c>
    </row>
    <row r="41" spans="1:2" x14ac:dyDescent="0.25">
      <c r="B41" t="s">
        <v>102</v>
      </c>
    </row>
    <row r="42" spans="1:2" x14ac:dyDescent="0.25">
      <c r="B42" t="s">
        <v>103</v>
      </c>
    </row>
    <row r="43" spans="1:2" x14ac:dyDescent="0.25">
      <c r="B43" t="s">
        <v>108</v>
      </c>
    </row>
    <row r="44" spans="1:2" x14ac:dyDescent="0.25">
      <c r="B44" t="s">
        <v>105</v>
      </c>
    </row>
    <row r="45" spans="1:2" x14ac:dyDescent="0.25">
      <c r="B45" t="s">
        <v>106</v>
      </c>
    </row>
    <row r="46" spans="1:2" x14ac:dyDescent="0.25">
      <c r="B46" t="s">
        <v>107</v>
      </c>
    </row>
    <row r="47" spans="1:2" x14ac:dyDescent="0.25">
      <c r="B47" t="s">
        <v>109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O80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/>
    </sheetView>
  </sheetViews>
  <sheetFormatPr defaultRowHeight="15" x14ac:dyDescent="0.25"/>
  <cols>
    <col min="1" max="1" width="9.140625" style="2"/>
    <col min="2" max="2" width="32" style="2" bestFit="1" customWidth="1"/>
    <col min="3" max="3" width="18.5703125" style="3" customWidth="1"/>
    <col min="4" max="4" width="19.5703125" style="3" bestFit="1" customWidth="1"/>
    <col min="5" max="6" width="16.7109375" style="3" customWidth="1"/>
    <col min="7" max="9" width="16.85546875" style="3" bestFit="1" customWidth="1"/>
    <col min="10" max="13" width="19.42578125" style="28" customWidth="1"/>
    <col min="14" max="14" width="17.140625" style="20" customWidth="1"/>
    <col min="15" max="16" width="17.140625" style="2" customWidth="1"/>
    <col min="17" max="17" width="6.28515625" style="58" customWidth="1"/>
    <col min="18" max="19" width="19" style="20" customWidth="1"/>
    <col min="20" max="24" width="19.42578125" style="28" customWidth="1"/>
    <col min="25" max="27" width="19.7109375" style="3" customWidth="1"/>
    <col min="28" max="28" width="19.42578125" style="28" bestFit="1" customWidth="1"/>
    <col min="29" max="29" width="17.28515625" style="28" bestFit="1" customWidth="1"/>
    <col min="30" max="30" width="19.42578125" style="28" customWidth="1"/>
    <col min="31" max="31" width="21.7109375" style="57" customWidth="1"/>
    <col min="32" max="32" width="21.42578125" style="28" customWidth="1"/>
    <col min="33" max="33" width="21.7109375" style="57" customWidth="1"/>
    <col min="34" max="36" width="19.7109375" style="3" customWidth="1"/>
    <col min="37" max="37" width="19" style="20" customWidth="1"/>
    <col min="38" max="38" width="17.28515625" style="28" bestFit="1" customWidth="1"/>
    <col min="39" max="39" width="19.42578125" style="28" customWidth="1"/>
    <col min="40" max="41" width="19" style="20" customWidth="1"/>
    <col min="42" max="44" width="19.7109375" style="3" customWidth="1"/>
    <col min="45" max="48" width="19.42578125" style="28" customWidth="1"/>
    <col min="49" max="49" width="19.42578125" style="28" bestFit="1" customWidth="1"/>
    <col min="50" max="55" width="19.7109375" style="3" customWidth="1"/>
    <col min="56" max="58" width="21.7109375" style="57" customWidth="1"/>
    <col min="59" max="59" width="19.42578125" style="28" customWidth="1"/>
    <col min="60" max="61" width="18.85546875" style="28" customWidth="1"/>
    <col min="62" max="62" width="18.85546875" customWidth="1"/>
    <col min="63" max="63" width="19" style="20" customWidth="1"/>
    <col min="64" max="64" width="18.85546875" style="28" customWidth="1"/>
    <col min="65" max="67" width="19" style="20" customWidth="1"/>
    <col min="68" max="73" width="19.7109375" style="3" customWidth="1"/>
    <col min="74" max="79" width="19" style="20" customWidth="1"/>
    <col min="80" max="80" width="19" style="28" bestFit="1" customWidth="1"/>
    <col min="81" max="81" width="19" style="28" customWidth="1"/>
    <col min="82" max="82" width="19" style="20" customWidth="1"/>
    <col min="83" max="85" width="19.7109375" style="3" customWidth="1"/>
    <col min="86" max="87" width="19" style="20" customWidth="1"/>
    <col min="91" max="91" width="9.140625" style="2"/>
    <col min="92" max="92" width="13.28515625" style="2" bestFit="1" customWidth="1"/>
    <col min="93" max="253" width="9.140625" style="2"/>
    <col min="254" max="254" width="24.5703125" style="2" customWidth="1"/>
    <col min="255" max="255" width="16.7109375" style="2" customWidth="1"/>
    <col min="256" max="306" width="16.28515625" style="2" customWidth="1"/>
    <col min="307" max="509" width="9.140625" style="2"/>
    <col min="510" max="510" width="24.5703125" style="2" customWidth="1"/>
    <col min="511" max="511" width="16.7109375" style="2" customWidth="1"/>
    <col min="512" max="562" width="16.28515625" style="2" customWidth="1"/>
    <col min="563" max="765" width="9.140625" style="2"/>
    <col min="766" max="766" width="24.5703125" style="2" customWidth="1"/>
    <col min="767" max="767" width="16.7109375" style="2" customWidth="1"/>
    <col min="768" max="818" width="16.28515625" style="2" customWidth="1"/>
    <col min="819" max="1021" width="9.140625" style="2"/>
    <col min="1022" max="1022" width="24.5703125" style="2" customWidth="1"/>
    <col min="1023" max="1023" width="16.7109375" style="2" customWidth="1"/>
    <col min="1024" max="1074" width="16.28515625" style="2" customWidth="1"/>
    <col min="1075" max="1277" width="9.140625" style="2"/>
    <col min="1278" max="1278" width="24.5703125" style="2" customWidth="1"/>
    <col min="1279" max="1279" width="16.7109375" style="2" customWidth="1"/>
    <col min="1280" max="1330" width="16.28515625" style="2" customWidth="1"/>
    <col min="1331" max="1533" width="9.140625" style="2"/>
    <col min="1534" max="1534" width="24.5703125" style="2" customWidth="1"/>
    <col min="1535" max="1535" width="16.7109375" style="2" customWidth="1"/>
    <col min="1536" max="1586" width="16.28515625" style="2" customWidth="1"/>
    <col min="1587" max="1789" width="9.140625" style="2"/>
    <col min="1790" max="1790" width="24.5703125" style="2" customWidth="1"/>
    <col min="1791" max="1791" width="16.7109375" style="2" customWidth="1"/>
    <col min="1792" max="1842" width="16.28515625" style="2" customWidth="1"/>
    <col min="1843" max="2045" width="9.140625" style="2"/>
    <col min="2046" max="2046" width="24.5703125" style="2" customWidth="1"/>
    <col min="2047" max="2047" width="16.7109375" style="2" customWidth="1"/>
    <col min="2048" max="2098" width="16.28515625" style="2" customWidth="1"/>
    <col min="2099" max="2301" width="9.140625" style="2"/>
    <col min="2302" max="2302" width="24.5703125" style="2" customWidth="1"/>
    <col min="2303" max="2303" width="16.7109375" style="2" customWidth="1"/>
    <col min="2304" max="2354" width="16.28515625" style="2" customWidth="1"/>
    <col min="2355" max="2557" width="9.140625" style="2"/>
    <col min="2558" max="2558" width="24.5703125" style="2" customWidth="1"/>
    <col min="2559" max="2559" width="16.7109375" style="2" customWidth="1"/>
    <col min="2560" max="2610" width="16.28515625" style="2" customWidth="1"/>
    <col min="2611" max="2813" width="9.140625" style="2"/>
    <col min="2814" max="2814" width="24.5703125" style="2" customWidth="1"/>
    <col min="2815" max="2815" width="16.7109375" style="2" customWidth="1"/>
    <col min="2816" max="2866" width="16.28515625" style="2" customWidth="1"/>
    <col min="2867" max="3069" width="9.140625" style="2"/>
    <col min="3070" max="3070" width="24.5703125" style="2" customWidth="1"/>
    <col min="3071" max="3071" width="16.7109375" style="2" customWidth="1"/>
    <col min="3072" max="3122" width="16.28515625" style="2" customWidth="1"/>
    <col min="3123" max="3325" width="9.140625" style="2"/>
    <col min="3326" max="3326" width="24.5703125" style="2" customWidth="1"/>
    <col min="3327" max="3327" width="16.7109375" style="2" customWidth="1"/>
    <col min="3328" max="3378" width="16.28515625" style="2" customWidth="1"/>
    <col min="3379" max="3581" width="9.140625" style="2"/>
    <col min="3582" max="3582" width="24.5703125" style="2" customWidth="1"/>
    <col min="3583" max="3583" width="16.7109375" style="2" customWidth="1"/>
    <col min="3584" max="3634" width="16.28515625" style="2" customWidth="1"/>
    <col min="3635" max="3837" width="9.140625" style="2"/>
    <col min="3838" max="3838" width="24.5703125" style="2" customWidth="1"/>
    <col min="3839" max="3839" width="16.7109375" style="2" customWidth="1"/>
    <col min="3840" max="3890" width="16.28515625" style="2" customWidth="1"/>
    <col min="3891" max="4093" width="9.140625" style="2"/>
    <col min="4094" max="4094" width="24.5703125" style="2" customWidth="1"/>
    <col min="4095" max="4095" width="16.7109375" style="2" customWidth="1"/>
    <col min="4096" max="4146" width="16.28515625" style="2" customWidth="1"/>
    <col min="4147" max="4349" width="9.140625" style="2"/>
    <col min="4350" max="4350" width="24.5703125" style="2" customWidth="1"/>
    <col min="4351" max="4351" width="16.7109375" style="2" customWidth="1"/>
    <col min="4352" max="4402" width="16.28515625" style="2" customWidth="1"/>
    <col min="4403" max="4605" width="9.140625" style="2"/>
    <col min="4606" max="4606" width="24.5703125" style="2" customWidth="1"/>
    <col min="4607" max="4607" width="16.7109375" style="2" customWidth="1"/>
    <col min="4608" max="4658" width="16.28515625" style="2" customWidth="1"/>
    <col min="4659" max="4861" width="9.140625" style="2"/>
    <col min="4862" max="4862" width="24.5703125" style="2" customWidth="1"/>
    <col min="4863" max="4863" width="16.7109375" style="2" customWidth="1"/>
    <col min="4864" max="4914" width="16.28515625" style="2" customWidth="1"/>
    <col min="4915" max="5117" width="9.140625" style="2"/>
    <col min="5118" max="5118" width="24.5703125" style="2" customWidth="1"/>
    <col min="5119" max="5119" width="16.7109375" style="2" customWidth="1"/>
    <col min="5120" max="5170" width="16.28515625" style="2" customWidth="1"/>
    <col min="5171" max="5373" width="9.140625" style="2"/>
    <col min="5374" max="5374" width="24.5703125" style="2" customWidth="1"/>
    <col min="5375" max="5375" width="16.7109375" style="2" customWidth="1"/>
    <col min="5376" max="5426" width="16.28515625" style="2" customWidth="1"/>
    <col min="5427" max="5629" width="9.140625" style="2"/>
    <col min="5630" max="5630" width="24.5703125" style="2" customWidth="1"/>
    <col min="5631" max="5631" width="16.7109375" style="2" customWidth="1"/>
    <col min="5632" max="5682" width="16.28515625" style="2" customWidth="1"/>
    <col min="5683" max="5885" width="9.140625" style="2"/>
    <col min="5886" max="5886" width="24.5703125" style="2" customWidth="1"/>
    <col min="5887" max="5887" width="16.7109375" style="2" customWidth="1"/>
    <col min="5888" max="5938" width="16.28515625" style="2" customWidth="1"/>
    <col min="5939" max="6141" width="9.140625" style="2"/>
    <col min="6142" max="6142" width="24.5703125" style="2" customWidth="1"/>
    <col min="6143" max="6143" width="16.7109375" style="2" customWidth="1"/>
    <col min="6144" max="6194" width="16.28515625" style="2" customWidth="1"/>
    <col min="6195" max="6397" width="9.140625" style="2"/>
    <col min="6398" max="6398" width="24.5703125" style="2" customWidth="1"/>
    <col min="6399" max="6399" width="16.7109375" style="2" customWidth="1"/>
    <col min="6400" max="6450" width="16.28515625" style="2" customWidth="1"/>
    <col min="6451" max="6653" width="9.140625" style="2"/>
    <col min="6654" max="6654" width="24.5703125" style="2" customWidth="1"/>
    <col min="6655" max="6655" width="16.7109375" style="2" customWidth="1"/>
    <col min="6656" max="6706" width="16.28515625" style="2" customWidth="1"/>
    <col min="6707" max="6909" width="9.140625" style="2"/>
    <col min="6910" max="6910" width="24.5703125" style="2" customWidth="1"/>
    <col min="6911" max="6911" width="16.7109375" style="2" customWidth="1"/>
    <col min="6912" max="6962" width="16.28515625" style="2" customWidth="1"/>
    <col min="6963" max="7165" width="9.140625" style="2"/>
    <col min="7166" max="7166" width="24.5703125" style="2" customWidth="1"/>
    <col min="7167" max="7167" width="16.7109375" style="2" customWidth="1"/>
    <col min="7168" max="7218" width="16.28515625" style="2" customWidth="1"/>
    <col min="7219" max="7421" width="9.140625" style="2"/>
    <col min="7422" max="7422" width="24.5703125" style="2" customWidth="1"/>
    <col min="7423" max="7423" width="16.7109375" style="2" customWidth="1"/>
    <col min="7424" max="7474" width="16.28515625" style="2" customWidth="1"/>
    <col min="7475" max="7677" width="9.140625" style="2"/>
    <col min="7678" max="7678" width="24.5703125" style="2" customWidth="1"/>
    <col min="7679" max="7679" width="16.7109375" style="2" customWidth="1"/>
    <col min="7680" max="7730" width="16.28515625" style="2" customWidth="1"/>
    <col min="7731" max="7933" width="9.140625" style="2"/>
    <col min="7934" max="7934" width="24.5703125" style="2" customWidth="1"/>
    <col min="7935" max="7935" width="16.7109375" style="2" customWidth="1"/>
    <col min="7936" max="7986" width="16.28515625" style="2" customWidth="1"/>
    <col min="7987" max="8189" width="9.140625" style="2"/>
    <col min="8190" max="8190" width="24.5703125" style="2" customWidth="1"/>
    <col min="8191" max="8191" width="16.7109375" style="2" customWidth="1"/>
    <col min="8192" max="8242" width="16.28515625" style="2" customWidth="1"/>
    <col min="8243" max="8445" width="9.140625" style="2"/>
    <col min="8446" max="8446" width="24.5703125" style="2" customWidth="1"/>
    <col min="8447" max="8447" width="16.7109375" style="2" customWidth="1"/>
    <col min="8448" max="8498" width="16.28515625" style="2" customWidth="1"/>
    <col min="8499" max="8701" width="9.140625" style="2"/>
    <col min="8702" max="8702" width="24.5703125" style="2" customWidth="1"/>
    <col min="8703" max="8703" width="16.7109375" style="2" customWidth="1"/>
    <col min="8704" max="8754" width="16.28515625" style="2" customWidth="1"/>
    <col min="8755" max="8957" width="9.140625" style="2"/>
    <col min="8958" max="8958" width="24.5703125" style="2" customWidth="1"/>
    <col min="8959" max="8959" width="16.7109375" style="2" customWidth="1"/>
    <col min="8960" max="9010" width="16.28515625" style="2" customWidth="1"/>
    <col min="9011" max="9213" width="9.140625" style="2"/>
    <col min="9214" max="9214" width="24.5703125" style="2" customWidth="1"/>
    <col min="9215" max="9215" width="16.7109375" style="2" customWidth="1"/>
    <col min="9216" max="9266" width="16.28515625" style="2" customWidth="1"/>
    <col min="9267" max="9469" width="9.140625" style="2"/>
    <col min="9470" max="9470" width="24.5703125" style="2" customWidth="1"/>
    <col min="9471" max="9471" width="16.7109375" style="2" customWidth="1"/>
    <col min="9472" max="9522" width="16.28515625" style="2" customWidth="1"/>
    <col min="9523" max="9725" width="9.140625" style="2"/>
    <col min="9726" max="9726" width="24.5703125" style="2" customWidth="1"/>
    <col min="9727" max="9727" width="16.7109375" style="2" customWidth="1"/>
    <col min="9728" max="9778" width="16.28515625" style="2" customWidth="1"/>
    <col min="9779" max="9981" width="9.140625" style="2"/>
    <col min="9982" max="9982" width="24.5703125" style="2" customWidth="1"/>
    <col min="9983" max="9983" width="16.7109375" style="2" customWidth="1"/>
    <col min="9984" max="10034" width="16.28515625" style="2" customWidth="1"/>
    <col min="10035" max="10237" width="9.140625" style="2"/>
    <col min="10238" max="10238" width="24.5703125" style="2" customWidth="1"/>
    <col min="10239" max="10239" width="16.7109375" style="2" customWidth="1"/>
    <col min="10240" max="10290" width="16.28515625" style="2" customWidth="1"/>
    <col min="10291" max="10493" width="9.140625" style="2"/>
    <col min="10494" max="10494" width="24.5703125" style="2" customWidth="1"/>
    <col min="10495" max="10495" width="16.7109375" style="2" customWidth="1"/>
    <col min="10496" max="10546" width="16.28515625" style="2" customWidth="1"/>
    <col min="10547" max="10749" width="9.140625" style="2"/>
    <col min="10750" max="10750" width="24.5703125" style="2" customWidth="1"/>
    <col min="10751" max="10751" width="16.7109375" style="2" customWidth="1"/>
    <col min="10752" max="10802" width="16.28515625" style="2" customWidth="1"/>
    <col min="10803" max="11005" width="9.140625" style="2"/>
    <col min="11006" max="11006" width="24.5703125" style="2" customWidth="1"/>
    <col min="11007" max="11007" width="16.7109375" style="2" customWidth="1"/>
    <col min="11008" max="11058" width="16.28515625" style="2" customWidth="1"/>
    <col min="11059" max="11261" width="9.140625" style="2"/>
    <col min="11262" max="11262" width="24.5703125" style="2" customWidth="1"/>
    <col min="11263" max="11263" width="16.7109375" style="2" customWidth="1"/>
    <col min="11264" max="11314" width="16.28515625" style="2" customWidth="1"/>
    <col min="11315" max="11517" width="9.140625" style="2"/>
    <col min="11518" max="11518" width="24.5703125" style="2" customWidth="1"/>
    <col min="11519" max="11519" width="16.7109375" style="2" customWidth="1"/>
    <col min="11520" max="11570" width="16.28515625" style="2" customWidth="1"/>
    <col min="11571" max="11773" width="9.140625" style="2"/>
    <col min="11774" max="11774" width="24.5703125" style="2" customWidth="1"/>
    <col min="11775" max="11775" width="16.7109375" style="2" customWidth="1"/>
    <col min="11776" max="11826" width="16.28515625" style="2" customWidth="1"/>
    <col min="11827" max="12029" width="9.140625" style="2"/>
    <col min="12030" max="12030" width="24.5703125" style="2" customWidth="1"/>
    <col min="12031" max="12031" width="16.7109375" style="2" customWidth="1"/>
    <col min="12032" max="12082" width="16.28515625" style="2" customWidth="1"/>
    <col min="12083" max="12285" width="9.140625" style="2"/>
    <col min="12286" max="12286" width="24.5703125" style="2" customWidth="1"/>
    <col min="12287" max="12287" width="16.7109375" style="2" customWidth="1"/>
    <col min="12288" max="12338" width="16.28515625" style="2" customWidth="1"/>
    <col min="12339" max="12541" width="9.140625" style="2"/>
    <col min="12542" max="12542" width="24.5703125" style="2" customWidth="1"/>
    <col min="12543" max="12543" width="16.7109375" style="2" customWidth="1"/>
    <col min="12544" max="12594" width="16.28515625" style="2" customWidth="1"/>
    <col min="12595" max="12797" width="9.140625" style="2"/>
    <col min="12798" max="12798" width="24.5703125" style="2" customWidth="1"/>
    <col min="12799" max="12799" width="16.7109375" style="2" customWidth="1"/>
    <col min="12800" max="12850" width="16.28515625" style="2" customWidth="1"/>
    <col min="12851" max="13053" width="9.140625" style="2"/>
    <col min="13054" max="13054" width="24.5703125" style="2" customWidth="1"/>
    <col min="13055" max="13055" width="16.7109375" style="2" customWidth="1"/>
    <col min="13056" max="13106" width="16.28515625" style="2" customWidth="1"/>
    <col min="13107" max="13309" width="9.140625" style="2"/>
    <col min="13310" max="13310" width="24.5703125" style="2" customWidth="1"/>
    <col min="13311" max="13311" width="16.7109375" style="2" customWidth="1"/>
    <col min="13312" max="13362" width="16.28515625" style="2" customWidth="1"/>
    <col min="13363" max="13565" width="9.140625" style="2"/>
    <col min="13566" max="13566" width="24.5703125" style="2" customWidth="1"/>
    <col min="13567" max="13567" width="16.7109375" style="2" customWidth="1"/>
    <col min="13568" max="13618" width="16.28515625" style="2" customWidth="1"/>
    <col min="13619" max="13821" width="9.140625" style="2"/>
    <col min="13822" max="13822" width="24.5703125" style="2" customWidth="1"/>
    <col min="13823" max="13823" width="16.7109375" style="2" customWidth="1"/>
    <col min="13824" max="13874" width="16.28515625" style="2" customWidth="1"/>
    <col min="13875" max="14077" width="9.140625" style="2"/>
    <col min="14078" max="14078" width="24.5703125" style="2" customWidth="1"/>
    <col min="14079" max="14079" width="16.7109375" style="2" customWidth="1"/>
    <col min="14080" max="14130" width="16.28515625" style="2" customWidth="1"/>
    <col min="14131" max="14333" width="9.140625" style="2"/>
    <col min="14334" max="14334" width="24.5703125" style="2" customWidth="1"/>
    <col min="14335" max="14335" width="16.7109375" style="2" customWidth="1"/>
    <col min="14336" max="14386" width="16.28515625" style="2" customWidth="1"/>
    <col min="14387" max="14589" width="9.140625" style="2"/>
    <col min="14590" max="14590" width="24.5703125" style="2" customWidth="1"/>
    <col min="14591" max="14591" width="16.7109375" style="2" customWidth="1"/>
    <col min="14592" max="14642" width="16.28515625" style="2" customWidth="1"/>
    <col min="14643" max="14845" width="9.140625" style="2"/>
    <col min="14846" max="14846" width="24.5703125" style="2" customWidth="1"/>
    <col min="14847" max="14847" width="16.7109375" style="2" customWidth="1"/>
    <col min="14848" max="14898" width="16.28515625" style="2" customWidth="1"/>
    <col min="14899" max="15101" width="9.140625" style="2"/>
    <col min="15102" max="15102" width="24.5703125" style="2" customWidth="1"/>
    <col min="15103" max="15103" width="16.7109375" style="2" customWidth="1"/>
    <col min="15104" max="15154" width="16.28515625" style="2" customWidth="1"/>
    <col min="15155" max="15357" width="9.140625" style="2"/>
    <col min="15358" max="15358" width="24.5703125" style="2" customWidth="1"/>
    <col min="15359" max="15359" width="16.7109375" style="2" customWidth="1"/>
    <col min="15360" max="15410" width="16.28515625" style="2" customWidth="1"/>
    <col min="15411" max="15613" width="9.140625" style="2"/>
    <col min="15614" max="15614" width="24.5703125" style="2" customWidth="1"/>
    <col min="15615" max="15615" width="16.7109375" style="2" customWidth="1"/>
    <col min="15616" max="15666" width="16.28515625" style="2" customWidth="1"/>
    <col min="15667" max="15869" width="9.140625" style="2"/>
    <col min="15870" max="15870" width="24.5703125" style="2" customWidth="1"/>
    <col min="15871" max="15871" width="16.7109375" style="2" customWidth="1"/>
    <col min="15872" max="15922" width="16.28515625" style="2" customWidth="1"/>
    <col min="15923" max="16125" width="9.140625" style="2"/>
    <col min="16126" max="16126" width="24.5703125" style="2" customWidth="1"/>
    <col min="16127" max="16127" width="16.7109375" style="2" customWidth="1"/>
    <col min="16128" max="16178" width="16.28515625" style="2" customWidth="1"/>
    <col min="16179" max="16378" width="9.140625" style="2"/>
    <col min="16379" max="16384" width="9.140625" style="2" customWidth="1"/>
  </cols>
  <sheetData>
    <row r="1" spans="1:87" s="22" customFormat="1" ht="11.25" x14ac:dyDescent="0.2">
      <c r="A1" s="100"/>
      <c r="B1" s="48" t="s">
        <v>86</v>
      </c>
      <c r="C1" s="21"/>
      <c r="D1" s="56"/>
      <c r="E1" s="23" t="s">
        <v>114</v>
      </c>
      <c r="F1" s="23" t="s">
        <v>114</v>
      </c>
      <c r="G1" s="23" t="s">
        <v>114</v>
      </c>
      <c r="H1" s="23" t="s">
        <v>114</v>
      </c>
      <c r="I1" s="23" t="s">
        <v>114</v>
      </c>
      <c r="J1" s="30" t="s">
        <v>114</v>
      </c>
      <c r="K1" s="30" t="s">
        <v>114</v>
      </c>
      <c r="L1" s="30" t="s">
        <v>114</v>
      </c>
      <c r="M1" s="30" t="s">
        <v>114</v>
      </c>
      <c r="N1" s="66" t="s">
        <v>114</v>
      </c>
      <c r="O1" s="30" t="s">
        <v>285</v>
      </c>
      <c r="P1" s="30" t="s">
        <v>285</v>
      </c>
      <c r="Q1" s="46"/>
      <c r="R1" s="56" t="s">
        <v>282</v>
      </c>
      <c r="S1" s="46" t="s">
        <v>254</v>
      </c>
      <c r="T1" s="110" t="s">
        <v>157</v>
      </c>
      <c r="U1" s="110" t="s">
        <v>157</v>
      </c>
      <c r="V1" s="110" t="s">
        <v>157</v>
      </c>
      <c r="W1" s="110" t="s">
        <v>157</v>
      </c>
      <c r="X1" s="110" t="s">
        <v>157</v>
      </c>
      <c r="Y1" s="106" t="s">
        <v>114</v>
      </c>
      <c r="Z1" s="106" t="s">
        <v>114</v>
      </c>
      <c r="AA1" s="106" t="s">
        <v>114</v>
      </c>
      <c r="AB1" s="30" t="s">
        <v>122</v>
      </c>
      <c r="AC1" s="30" t="s">
        <v>114</v>
      </c>
      <c r="AD1" s="30" t="s">
        <v>126</v>
      </c>
      <c r="AE1" s="124" t="s">
        <v>114</v>
      </c>
      <c r="AF1" s="124" t="s">
        <v>114</v>
      </c>
      <c r="AG1" s="124" t="s">
        <v>126</v>
      </c>
      <c r="AH1" s="127" t="s">
        <v>154</v>
      </c>
      <c r="AI1" s="127" t="s">
        <v>154</v>
      </c>
      <c r="AJ1" s="46" t="s">
        <v>154</v>
      </c>
      <c r="AK1" s="30" t="s">
        <v>114</v>
      </c>
      <c r="AL1" s="61" t="s">
        <v>114</v>
      </c>
      <c r="AM1" s="61" t="s">
        <v>124</v>
      </c>
      <c r="AN1" s="46" t="s">
        <v>126</v>
      </c>
      <c r="AO1" s="46" t="s">
        <v>244</v>
      </c>
      <c r="AP1" s="79" t="s">
        <v>158</v>
      </c>
      <c r="AQ1" s="79" t="s">
        <v>158</v>
      </c>
      <c r="AR1" s="79" t="s">
        <v>158</v>
      </c>
      <c r="AS1" s="114" t="s">
        <v>139</v>
      </c>
      <c r="AT1" s="110" t="s">
        <v>139</v>
      </c>
      <c r="AU1" s="110" t="s">
        <v>139</v>
      </c>
      <c r="AV1" s="110" t="s">
        <v>139</v>
      </c>
      <c r="AW1" s="81" t="s">
        <v>158</v>
      </c>
      <c r="AX1" s="81" t="s">
        <v>158</v>
      </c>
      <c r="AY1" s="81" t="s">
        <v>158</v>
      </c>
      <c r="AZ1" s="81" t="s">
        <v>158</v>
      </c>
      <c r="BA1" s="81" t="s">
        <v>158</v>
      </c>
      <c r="BB1" s="81" t="s">
        <v>158</v>
      </c>
      <c r="BC1" s="81" t="s">
        <v>158</v>
      </c>
      <c r="BD1" s="130" t="s">
        <v>114</v>
      </c>
      <c r="BE1" s="130" t="s">
        <v>114</v>
      </c>
      <c r="BF1" s="130" t="s">
        <v>114</v>
      </c>
      <c r="BG1" s="61" t="s">
        <v>126</v>
      </c>
      <c r="BH1" s="133" t="s">
        <v>126</v>
      </c>
      <c r="BI1" s="133" t="s">
        <v>126</v>
      </c>
      <c r="BJ1" s="61" t="s">
        <v>126</v>
      </c>
      <c r="BK1" s="79" t="s">
        <v>158</v>
      </c>
      <c r="BL1" s="61" t="s">
        <v>126</v>
      </c>
      <c r="BM1" s="94" t="s">
        <v>158</v>
      </c>
      <c r="BN1" s="94" t="s">
        <v>158</v>
      </c>
      <c r="BO1" s="94" t="s">
        <v>158</v>
      </c>
      <c r="BP1" s="76" t="s">
        <v>158</v>
      </c>
      <c r="BQ1" s="76" t="s">
        <v>158</v>
      </c>
      <c r="BR1" s="76" t="s">
        <v>158</v>
      </c>
      <c r="BS1" s="88" t="s">
        <v>158</v>
      </c>
      <c r="BT1" s="88" t="s">
        <v>158</v>
      </c>
      <c r="BU1" s="88" t="s">
        <v>158</v>
      </c>
      <c r="BV1" s="91" t="s">
        <v>158</v>
      </c>
      <c r="BW1" s="91" t="s">
        <v>158</v>
      </c>
      <c r="BX1" s="91" t="s">
        <v>158</v>
      </c>
      <c r="BY1" s="85" t="s">
        <v>158</v>
      </c>
      <c r="BZ1" s="85" t="s">
        <v>158</v>
      </c>
      <c r="CA1" s="85" t="s">
        <v>158</v>
      </c>
      <c r="CB1" s="30" t="s">
        <v>121</v>
      </c>
      <c r="CC1" s="30" t="s">
        <v>295</v>
      </c>
      <c r="CD1" s="117" t="s">
        <v>158</v>
      </c>
      <c r="CE1" s="97" t="s">
        <v>158</v>
      </c>
      <c r="CF1" s="97" t="s">
        <v>158</v>
      </c>
      <c r="CG1" s="97" t="s">
        <v>158</v>
      </c>
      <c r="CH1" s="110" t="s">
        <v>158</v>
      </c>
      <c r="CI1" s="110" t="s">
        <v>158</v>
      </c>
    </row>
    <row r="2" spans="1:87" s="1" customFormat="1" ht="11.25" x14ac:dyDescent="0.2">
      <c r="A2" s="1" t="s">
        <v>110</v>
      </c>
      <c r="B2" s="49"/>
      <c r="C2" s="6"/>
      <c r="D2" s="47"/>
      <c r="E2" s="24" t="s">
        <v>62</v>
      </c>
      <c r="F2" s="24" t="s">
        <v>62</v>
      </c>
      <c r="G2" s="24" t="s">
        <v>213</v>
      </c>
      <c r="H2" s="24" t="s">
        <v>277</v>
      </c>
      <c r="I2" s="24" t="s">
        <v>277</v>
      </c>
      <c r="J2" s="31" t="s">
        <v>213</v>
      </c>
      <c r="K2" s="31" t="s">
        <v>213</v>
      </c>
      <c r="L2" s="31" t="s">
        <v>213</v>
      </c>
      <c r="M2" s="31" t="s">
        <v>213</v>
      </c>
      <c r="N2" s="67" t="s">
        <v>288</v>
      </c>
      <c r="O2" s="62" t="s">
        <v>287</v>
      </c>
      <c r="P2" s="62" t="s">
        <v>324</v>
      </c>
      <c r="Q2" s="62"/>
      <c r="R2" s="62" t="s">
        <v>278</v>
      </c>
      <c r="S2" s="62" t="s">
        <v>255</v>
      </c>
      <c r="T2" s="111" t="s">
        <v>271</v>
      </c>
      <c r="U2" s="112" t="s">
        <v>193</v>
      </c>
      <c r="V2" s="112" t="s">
        <v>328</v>
      </c>
      <c r="W2" s="112" t="s">
        <v>191</v>
      </c>
      <c r="X2" s="112" t="s">
        <v>300</v>
      </c>
      <c r="Y2" s="107" t="s">
        <v>182</v>
      </c>
      <c r="Z2" s="107" t="s">
        <v>252</v>
      </c>
      <c r="AA2" s="108" t="s">
        <v>181</v>
      </c>
      <c r="AB2" s="31" t="s">
        <v>185</v>
      </c>
      <c r="AC2" s="31" t="s">
        <v>186</v>
      </c>
      <c r="AD2" s="31" t="s">
        <v>212</v>
      </c>
      <c r="AE2" s="125" t="s">
        <v>204</v>
      </c>
      <c r="AF2" s="125" t="s">
        <v>204</v>
      </c>
      <c r="AG2" s="125" t="s">
        <v>202</v>
      </c>
      <c r="AH2" s="128" t="s">
        <v>181</v>
      </c>
      <c r="AI2" s="128" t="s">
        <v>306</v>
      </c>
      <c r="AJ2" s="62" t="s">
        <v>306</v>
      </c>
      <c r="AK2" s="62" t="s">
        <v>273</v>
      </c>
      <c r="AL2" s="63" t="s">
        <v>190</v>
      </c>
      <c r="AM2" s="63" t="s">
        <v>185</v>
      </c>
      <c r="AN2" s="62" t="s">
        <v>202</v>
      </c>
      <c r="AO2" s="62" t="s">
        <v>245</v>
      </c>
      <c r="AP2" s="67" t="s">
        <v>168</v>
      </c>
      <c r="AQ2" s="67" t="s">
        <v>252</v>
      </c>
      <c r="AR2" s="67" t="s">
        <v>252</v>
      </c>
      <c r="AS2" s="115" t="s">
        <v>195</v>
      </c>
      <c r="AT2" s="112" t="s">
        <v>283</v>
      </c>
      <c r="AU2" s="112" t="s">
        <v>272</v>
      </c>
      <c r="AV2" s="112" t="s">
        <v>294</v>
      </c>
      <c r="AW2" s="84" t="s">
        <v>264</v>
      </c>
      <c r="AX2" s="82" t="s">
        <v>200</v>
      </c>
      <c r="AY2" s="82" t="s">
        <v>252</v>
      </c>
      <c r="AZ2" s="82" t="s">
        <v>252</v>
      </c>
      <c r="BA2" s="82" t="s">
        <v>234</v>
      </c>
      <c r="BB2" s="82" t="s">
        <v>252</v>
      </c>
      <c r="BC2" s="82" t="s">
        <v>252</v>
      </c>
      <c r="BD2" s="131" t="s">
        <v>202</v>
      </c>
      <c r="BE2" s="131" t="s">
        <v>329</v>
      </c>
      <c r="BF2" s="131" t="s">
        <v>329</v>
      </c>
      <c r="BG2" s="31" t="s">
        <v>312</v>
      </c>
      <c r="BH2" s="134" t="s">
        <v>212</v>
      </c>
      <c r="BI2" s="134" t="s">
        <v>303</v>
      </c>
      <c r="BJ2" s="63" t="s">
        <v>312</v>
      </c>
      <c r="BK2" s="67" t="s">
        <v>267</v>
      </c>
      <c r="BL2" s="62" t="s">
        <v>312</v>
      </c>
      <c r="BM2" s="95" t="s">
        <v>222</v>
      </c>
      <c r="BN2" s="95" t="s">
        <v>252</v>
      </c>
      <c r="BO2" s="95" t="s">
        <v>277</v>
      </c>
      <c r="BP2" s="77" t="s">
        <v>168</v>
      </c>
      <c r="BQ2" s="77" t="s">
        <v>252</v>
      </c>
      <c r="BR2" s="77" t="s">
        <v>252</v>
      </c>
      <c r="BS2" s="89" t="s">
        <v>166</v>
      </c>
      <c r="BT2" s="89" t="s">
        <v>277</v>
      </c>
      <c r="BU2" s="89" t="s">
        <v>252</v>
      </c>
      <c r="BV2" s="92" t="s">
        <v>221</v>
      </c>
      <c r="BW2" s="92" t="s">
        <v>277</v>
      </c>
      <c r="BX2" s="92" t="s">
        <v>252</v>
      </c>
      <c r="BY2" s="86" t="s">
        <v>221</v>
      </c>
      <c r="BZ2" s="86" t="s">
        <v>277</v>
      </c>
      <c r="CA2" s="86" t="s">
        <v>252</v>
      </c>
      <c r="CB2" s="31" t="s">
        <v>211</v>
      </c>
      <c r="CC2" s="31" t="s">
        <v>296</v>
      </c>
      <c r="CD2" s="118" t="s">
        <v>236</v>
      </c>
      <c r="CE2" s="98" t="s">
        <v>174</v>
      </c>
      <c r="CF2" s="98" t="s">
        <v>234</v>
      </c>
      <c r="CG2" s="98" t="s">
        <v>214</v>
      </c>
      <c r="CH2" s="111" t="s">
        <v>221</v>
      </c>
      <c r="CI2" s="111" t="s">
        <v>62</v>
      </c>
    </row>
    <row r="3" spans="1:87" s="1" customFormat="1" ht="12" thickBot="1" x14ac:dyDescent="0.25">
      <c r="A3" s="1" t="s">
        <v>110</v>
      </c>
      <c r="B3" s="49"/>
      <c r="C3" s="6"/>
      <c r="D3" s="47"/>
      <c r="E3" s="24" t="s">
        <v>173</v>
      </c>
      <c r="F3" s="24" t="s">
        <v>173</v>
      </c>
      <c r="G3" s="24" t="s">
        <v>173</v>
      </c>
      <c r="H3" s="24" t="s">
        <v>173</v>
      </c>
      <c r="I3" s="24" t="s">
        <v>173</v>
      </c>
      <c r="J3" s="31" t="s">
        <v>183</v>
      </c>
      <c r="K3" s="31" t="s">
        <v>183</v>
      </c>
      <c r="L3" s="31" t="s">
        <v>183</v>
      </c>
      <c r="M3" s="31" t="s">
        <v>183</v>
      </c>
      <c r="N3" s="67"/>
      <c r="O3" s="62"/>
      <c r="P3" s="62"/>
      <c r="Q3" s="62"/>
      <c r="R3" s="62" t="s">
        <v>256</v>
      </c>
      <c r="S3" s="62" t="s">
        <v>256</v>
      </c>
      <c r="T3" s="112" t="s">
        <v>183</v>
      </c>
      <c r="U3" s="112" t="s">
        <v>194</v>
      </c>
      <c r="V3" s="112" t="s">
        <v>194</v>
      </c>
      <c r="W3" s="112" t="s">
        <v>183</v>
      </c>
      <c r="X3" s="112" t="s">
        <v>301</v>
      </c>
      <c r="Y3" s="107" t="s">
        <v>183</v>
      </c>
      <c r="Z3" s="107" t="s">
        <v>183</v>
      </c>
      <c r="AA3" s="108" t="s">
        <v>179</v>
      </c>
      <c r="AB3" s="31" t="s">
        <v>183</v>
      </c>
      <c r="AC3" s="31" t="s">
        <v>183</v>
      </c>
      <c r="AD3" s="31" t="s">
        <v>261</v>
      </c>
      <c r="AE3" s="125" t="s">
        <v>183</v>
      </c>
      <c r="AF3" s="125" t="s">
        <v>183</v>
      </c>
      <c r="AG3" s="125" t="s">
        <v>183</v>
      </c>
      <c r="AH3" s="128" t="s">
        <v>183</v>
      </c>
      <c r="AI3" s="128" t="s">
        <v>307</v>
      </c>
      <c r="AJ3" s="62" t="s">
        <v>307</v>
      </c>
      <c r="AK3" s="62" t="s">
        <v>256</v>
      </c>
      <c r="AL3" s="31" t="s">
        <v>183</v>
      </c>
      <c r="AM3" s="63" t="s">
        <v>151</v>
      </c>
      <c r="AN3" s="62" t="s">
        <v>183</v>
      </c>
      <c r="AO3" s="62" t="s">
        <v>179</v>
      </c>
      <c r="AP3" s="67" t="s">
        <v>159</v>
      </c>
      <c r="AQ3" s="67" t="s">
        <v>253</v>
      </c>
      <c r="AR3" s="67" t="s">
        <v>253</v>
      </c>
      <c r="AS3" s="115" t="s">
        <v>262</v>
      </c>
      <c r="AT3" s="112" t="s">
        <v>262</v>
      </c>
      <c r="AU3" s="112" t="s">
        <v>215</v>
      </c>
      <c r="AV3" s="112" t="s">
        <v>215</v>
      </c>
      <c r="AW3" s="84" t="s">
        <v>265</v>
      </c>
      <c r="AX3" s="82" t="s">
        <v>266</v>
      </c>
      <c r="AY3" s="82" t="s">
        <v>266</v>
      </c>
      <c r="AZ3" s="82" t="s">
        <v>266</v>
      </c>
      <c r="BA3" s="82" t="s">
        <v>178</v>
      </c>
      <c r="BB3" s="82" t="s">
        <v>178</v>
      </c>
      <c r="BC3" s="82" t="s">
        <v>178</v>
      </c>
      <c r="BD3" s="131" t="s">
        <v>183</v>
      </c>
      <c r="BE3" s="131" t="s">
        <v>183</v>
      </c>
      <c r="BF3" s="131" t="s">
        <v>183</v>
      </c>
      <c r="BG3" s="31" t="s">
        <v>304</v>
      </c>
      <c r="BH3" s="134" t="s">
        <v>210</v>
      </c>
      <c r="BI3" s="134" t="s">
        <v>304</v>
      </c>
      <c r="BJ3" s="63" t="s">
        <v>320</v>
      </c>
      <c r="BK3" s="67" t="s">
        <v>178</v>
      </c>
      <c r="BL3" s="62" t="s">
        <v>313</v>
      </c>
      <c r="BM3" s="95" t="s">
        <v>223</v>
      </c>
      <c r="BN3" s="95" t="s">
        <v>223</v>
      </c>
      <c r="BO3" s="95" t="s">
        <v>223</v>
      </c>
      <c r="BP3" s="77" t="s">
        <v>159</v>
      </c>
      <c r="BQ3" s="77" t="s">
        <v>159</v>
      </c>
      <c r="BR3" s="77" t="s">
        <v>159</v>
      </c>
      <c r="BS3" s="89" t="s">
        <v>169</v>
      </c>
      <c r="BT3" s="89" t="s">
        <v>169</v>
      </c>
      <c r="BU3" s="89" t="s">
        <v>169</v>
      </c>
      <c r="BV3" s="92" t="s">
        <v>178</v>
      </c>
      <c r="BW3" s="92" t="s">
        <v>178</v>
      </c>
      <c r="BX3" s="92" t="s">
        <v>178</v>
      </c>
      <c r="BY3" s="86" t="s">
        <v>178</v>
      </c>
      <c r="BZ3" s="86" t="s">
        <v>178</v>
      </c>
      <c r="CA3" s="86" t="s">
        <v>178</v>
      </c>
      <c r="CB3" s="31" t="s">
        <v>260</v>
      </c>
      <c r="CC3" s="31" t="s">
        <v>297</v>
      </c>
      <c r="CD3" s="118" t="s">
        <v>237</v>
      </c>
      <c r="CE3" s="98" t="s">
        <v>178</v>
      </c>
      <c r="CF3" s="98" t="s">
        <v>249</v>
      </c>
      <c r="CG3" s="98" t="s">
        <v>178</v>
      </c>
      <c r="CH3" s="111" t="s">
        <v>178</v>
      </c>
      <c r="CI3" s="111" t="s">
        <v>178</v>
      </c>
    </row>
    <row r="4" spans="1:87" s="5" customFormat="1" ht="39" thickBot="1" x14ac:dyDescent="0.25">
      <c r="B4" s="50"/>
      <c r="C4" s="142" t="s">
        <v>0</v>
      </c>
      <c r="D4" s="141" t="s">
        <v>1</v>
      </c>
      <c r="E4" s="143" t="s">
        <v>289</v>
      </c>
      <c r="F4" s="144"/>
      <c r="G4" s="144"/>
      <c r="H4" s="144"/>
      <c r="I4" s="145"/>
      <c r="J4" s="146" t="s">
        <v>327</v>
      </c>
      <c r="K4" s="147"/>
      <c r="L4" s="147"/>
      <c r="M4" s="148"/>
      <c r="N4" s="68" t="s">
        <v>146</v>
      </c>
      <c r="O4" s="64" t="s">
        <v>286</v>
      </c>
      <c r="P4" s="64" t="s">
        <v>323</v>
      </c>
      <c r="Q4" s="64"/>
      <c r="R4" s="64" t="s">
        <v>279</v>
      </c>
      <c r="S4" s="64" t="s">
        <v>259</v>
      </c>
      <c r="T4" s="113" t="s">
        <v>302</v>
      </c>
      <c r="U4" s="113" t="s">
        <v>167</v>
      </c>
      <c r="V4" s="113" t="s">
        <v>167</v>
      </c>
      <c r="W4" s="113" t="s">
        <v>192</v>
      </c>
      <c r="X4" s="113" t="s">
        <v>192</v>
      </c>
      <c r="Y4" s="109" t="s">
        <v>155</v>
      </c>
      <c r="Z4" s="109" t="s">
        <v>155</v>
      </c>
      <c r="AA4" s="109" t="s">
        <v>155</v>
      </c>
      <c r="AB4" s="64" t="s">
        <v>117</v>
      </c>
      <c r="AC4" s="64" t="s">
        <v>187</v>
      </c>
      <c r="AD4" s="64" t="s">
        <v>149</v>
      </c>
      <c r="AE4" s="126" t="s">
        <v>144</v>
      </c>
      <c r="AF4" s="126" t="s">
        <v>144</v>
      </c>
      <c r="AG4" s="126" t="s">
        <v>144</v>
      </c>
      <c r="AH4" s="129" t="s">
        <v>308</v>
      </c>
      <c r="AI4" s="129" t="s">
        <v>308</v>
      </c>
      <c r="AJ4" s="64" t="s">
        <v>309</v>
      </c>
      <c r="AK4" s="64" t="s">
        <v>274</v>
      </c>
      <c r="AL4" s="64" t="s">
        <v>111</v>
      </c>
      <c r="AM4" s="64" t="s">
        <v>137</v>
      </c>
      <c r="AN4" s="64" t="s">
        <v>152</v>
      </c>
      <c r="AO4" s="64" t="s">
        <v>242</v>
      </c>
      <c r="AP4" s="80" t="s">
        <v>160</v>
      </c>
      <c r="AQ4" s="80" t="s">
        <v>160</v>
      </c>
      <c r="AR4" s="80" t="s">
        <v>160</v>
      </c>
      <c r="AS4" s="116" t="s">
        <v>140</v>
      </c>
      <c r="AT4" s="113" t="s">
        <v>140</v>
      </c>
      <c r="AU4" s="113" t="s">
        <v>216</v>
      </c>
      <c r="AV4" s="113" t="s">
        <v>216</v>
      </c>
      <c r="AW4" s="83" t="s">
        <v>197</v>
      </c>
      <c r="AX4" s="83" t="s">
        <v>208</v>
      </c>
      <c r="AY4" s="83" t="s">
        <v>208</v>
      </c>
      <c r="AZ4" s="83" t="s">
        <v>208</v>
      </c>
      <c r="BA4" s="83" t="s">
        <v>311</v>
      </c>
      <c r="BB4" s="83" t="s">
        <v>311</v>
      </c>
      <c r="BC4" s="83" t="s">
        <v>311</v>
      </c>
      <c r="BD4" s="132" t="s">
        <v>246</v>
      </c>
      <c r="BE4" s="132" t="s">
        <v>246</v>
      </c>
      <c r="BF4" s="132" t="s">
        <v>246</v>
      </c>
      <c r="BG4" s="64" t="s">
        <v>318</v>
      </c>
      <c r="BH4" s="135" t="s">
        <v>147</v>
      </c>
      <c r="BI4" s="135" t="s">
        <v>305</v>
      </c>
      <c r="BJ4" s="64" t="s">
        <v>321</v>
      </c>
      <c r="BK4" s="80" t="s">
        <v>268</v>
      </c>
      <c r="BL4" s="64" t="s">
        <v>314</v>
      </c>
      <c r="BM4" s="96" t="s">
        <v>224</v>
      </c>
      <c r="BN4" s="96" t="s">
        <v>224</v>
      </c>
      <c r="BO4" s="96" t="s">
        <v>224</v>
      </c>
      <c r="BP4" s="78" t="s">
        <v>163</v>
      </c>
      <c r="BQ4" s="78" t="s">
        <v>163</v>
      </c>
      <c r="BR4" s="78" t="s">
        <v>163</v>
      </c>
      <c r="BS4" s="90" t="s">
        <v>170</v>
      </c>
      <c r="BT4" s="90" t="s">
        <v>170</v>
      </c>
      <c r="BU4" s="90" t="s">
        <v>170</v>
      </c>
      <c r="BV4" s="93" t="s">
        <v>227</v>
      </c>
      <c r="BW4" s="93" t="s">
        <v>227</v>
      </c>
      <c r="BX4" s="93" t="s">
        <v>227</v>
      </c>
      <c r="BY4" s="87" t="s">
        <v>219</v>
      </c>
      <c r="BZ4" s="87" t="s">
        <v>219</v>
      </c>
      <c r="CA4" s="87" t="s">
        <v>219</v>
      </c>
      <c r="CB4" s="64" t="s">
        <v>298</v>
      </c>
      <c r="CC4" s="64" t="s">
        <v>298</v>
      </c>
      <c r="CD4" s="119" t="s">
        <v>238</v>
      </c>
      <c r="CE4" s="99" t="s">
        <v>175</v>
      </c>
      <c r="CF4" s="99" t="s">
        <v>250</v>
      </c>
      <c r="CG4" s="99" t="s">
        <v>175</v>
      </c>
      <c r="CH4" s="113" t="s">
        <v>230</v>
      </c>
      <c r="CI4" s="113" t="s">
        <v>230</v>
      </c>
    </row>
    <row r="5" spans="1:87" s="41" customFormat="1" ht="38.25" x14ac:dyDescent="0.25">
      <c r="B5" s="51" t="s">
        <v>132</v>
      </c>
      <c r="C5" s="142"/>
      <c r="D5" s="141"/>
      <c r="E5" s="65" t="s">
        <v>292</v>
      </c>
      <c r="F5" s="65" t="s">
        <v>293</v>
      </c>
      <c r="G5" s="65" t="s">
        <v>130</v>
      </c>
      <c r="H5" s="65" t="s">
        <v>291</v>
      </c>
      <c r="I5" s="120" t="s">
        <v>291</v>
      </c>
      <c r="J5" s="121" t="s">
        <v>129</v>
      </c>
      <c r="K5" s="121" t="s">
        <v>326</v>
      </c>
      <c r="L5" s="64" t="s">
        <v>325</v>
      </c>
      <c r="M5" s="64" t="s">
        <v>135</v>
      </c>
      <c r="N5" s="69" t="s">
        <v>196</v>
      </c>
      <c r="O5" s="64" t="s">
        <v>201</v>
      </c>
      <c r="P5" s="64" t="s">
        <v>201</v>
      </c>
      <c r="Q5" s="103"/>
      <c r="R5" s="103" t="s">
        <v>280</v>
      </c>
      <c r="S5" s="64" t="s">
        <v>257</v>
      </c>
      <c r="T5" s="113" t="s">
        <v>184</v>
      </c>
      <c r="U5" s="113" t="s">
        <v>209</v>
      </c>
      <c r="V5" s="113" t="s">
        <v>209</v>
      </c>
      <c r="W5" s="113" t="s">
        <v>184</v>
      </c>
      <c r="X5" s="113" t="s">
        <v>184</v>
      </c>
      <c r="Y5" s="109" t="s">
        <v>156</v>
      </c>
      <c r="Z5" s="109" t="s">
        <v>156</v>
      </c>
      <c r="AA5" s="109" t="s">
        <v>180</v>
      </c>
      <c r="AB5" s="64" t="s">
        <v>118</v>
      </c>
      <c r="AC5" s="64" t="s">
        <v>188</v>
      </c>
      <c r="AD5" s="64" t="s">
        <v>150</v>
      </c>
      <c r="AE5" s="126" t="s">
        <v>206</v>
      </c>
      <c r="AF5" s="126" t="s">
        <v>205</v>
      </c>
      <c r="AG5" s="126" t="s">
        <v>203</v>
      </c>
      <c r="AH5" s="129" t="s">
        <v>184</v>
      </c>
      <c r="AI5" s="129" t="s">
        <v>184</v>
      </c>
      <c r="AJ5" s="64" t="s">
        <v>184</v>
      </c>
      <c r="AK5" s="64" t="s">
        <v>275</v>
      </c>
      <c r="AL5" s="64" t="s">
        <v>112</v>
      </c>
      <c r="AM5" s="64" t="s">
        <v>189</v>
      </c>
      <c r="AN5" s="64" t="s">
        <v>153</v>
      </c>
      <c r="AO5" s="64" t="s">
        <v>130</v>
      </c>
      <c r="AP5" s="80" t="s">
        <v>161</v>
      </c>
      <c r="AQ5" s="80" t="s">
        <v>161</v>
      </c>
      <c r="AR5" s="80" t="s">
        <v>161</v>
      </c>
      <c r="AS5" s="116" t="s">
        <v>263</v>
      </c>
      <c r="AT5" s="113" t="s">
        <v>263</v>
      </c>
      <c r="AU5" s="113" t="s">
        <v>217</v>
      </c>
      <c r="AV5" s="113" t="s">
        <v>217</v>
      </c>
      <c r="AW5" s="83" t="s">
        <v>198</v>
      </c>
      <c r="AX5" s="83" t="s">
        <v>201</v>
      </c>
      <c r="AY5" s="83" t="s">
        <v>201</v>
      </c>
      <c r="AZ5" s="83" t="s">
        <v>201</v>
      </c>
      <c r="BA5" s="83" t="s">
        <v>235</v>
      </c>
      <c r="BB5" s="83" t="s">
        <v>235</v>
      </c>
      <c r="BC5" s="83" t="s">
        <v>235</v>
      </c>
      <c r="BD5" s="132" t="s">
        <v>247</v>
      </c>
      <c r="BE5" s="132" t="s">
        <v>247</v>
      </c>
      <c r="BF5" s="132" t="s">
        <v>247</v>
      </c>
      <c r="BG5" s="64" t="s">
        <v>315</v>
      </c>
      <c r="BH5" s="135" t="s">
        <v>148</v>
      </c>
      <c r="BI5" s="135" t="s">
        <v>148</v>
      </c>
      <c r="BJ5" s="64" t="s">
        <v>322</v>
      </c>
      <c r="BK5" s="80" t="s">
        <v>269</v>
      </c>
      <c r="BL5" s="64" t="s">
        <v>315</v>
      </c>
      <c r="BM5" s="96" t="s">
        <v>225</v>
      </c>
      <c r="BN5" s="96" t="s">
        <v>225</v>
      </c>
      <c r="BO5" s="96" t="s">
        <v>225</v>
      </c>
      <c r="BP5" s="78" t="s">
        <v>164</v>
      </c>
      <c r="BQ5" s="78" t="s">
        <v>164</v>
      </c>
      <c r="BR5" s="78" t="s">
        <v>164</v>
      </c>
      <c r="BS5" s="90" t="s">
        <v>171</v>
      </c>
      <c r="BT5" s="90" t="s">
        <v>171</v>
      </c>
      <c r="BU5" s="90" t="s">
        <v>171</v>
      </c>
      <c r="BV5" s="93" t="s">
        <v>228</v>
      </c>
      <c r="BW5" s="93" t="s">
        <v>228</v>
      </c>
      <c r="BX5" s="93" t="s">
        <v>228</v>
      </c>
      <c r="BY5" s="87" t="s">
        <v>220</v>
      </c>
      <c r="BZ5" s="87" t="s">
        <v>220</v>
      </c>
      <c r="CA5" s="87" t="s">
        <v>220</v>
      </c>
      <c r="CB5" s="64" t="s">
        <v>120</v>
      </c>
      <c r="CC5" s="64" t="s">
        <v>299</v>
      </c>
      <c r="CD5" s="119" t="s">
        <v>239</v>
      </c>
      <c r="CE5" s="99" t="s">
        <v>176</v>
      </c>
      <c r="CF5" s="99" t="s">
        <v>251</v>
      </c>
      <c r="CG5" s="99" t="s">
        <v>233</v>
      </c>
      <c r="CH5" s="113" t="s">
        <v>231</v>
      </c>
      <c r="CI5" s="113" t="s">
        <v>231</v>
      </c>
    </row>
    <row r="6" spans="1:87" s="5" customFormat="1" ht="12.75" x14ac:dyDescent="0.2">
      <c r="B6" s="50"/>
      <c r="C6" s="142"/>
      <c r="D6" s="141"/>
      <c r="E6" s="65" t="s">
        <v>61</v>
      </c>
      <c r="F6" s="65" t="s">
        <v>60</v>
      </c>
      <c r="G6" s="65" t="s">
        <v>60</v>
      </c>
      <c r="H6" s="65" t="s">
        <v>290</v>
      </c>
      <c r="I6" s="65" t="s">
        <v>290</v>
      </c>
      <c r="J6" s="64" t="s">
        <v>131</v>
      </c>
      <c r="K6" s="64" t="s">
        <v>133</v>
      </c>
      <c r="L6" s="64" t="s">
        <v>134</v>
      </c>
      <c r="M6" s="64" t="s">
        <v>136</v>
      </c>
      <c r="N6" s="68" t="s">
        <v>136</v>
      </c>
      <c r="O6" s="64"/>
      <c r="P6" s="64"/>
      <c r="Q6" s="64"/>
      <c r="R6" s="64" t="s">
        <v>281</v>
      </c>
      <c r="S6" s="64" t="s">
        <v>258</v>
      </c>
      <c r="T6" s="113" t="s">
        <v>125</v>
      </c>
      <c r="U6" s="113" t="s">
        <v>125</v>
      </c>
      <c r="V6" s="113" t="s">
        <v>125</v>
      </c>
      <c r="W6" s="113" t="s">
        <v>125</v>
      </c>
      <c r="X6" s="113" t="s">
        <v>125</v>
      </c>
      <c r="Y6" s="109" t="s">
        <v>116</v>
      </c>
      <c r="Z6" s="109" t="s">
        <v>116</v>
      </c>
      <c r="AA6" s="109" t="s">
        <v>116</v>
      </c>
      <c r="AB6" s="64" t="s">
        <v>119</v>
      </c>
      <c r="AC6" s="64" t="s">
        <v>115</v>
      </c>
      <c r="AD6" s="64" t="s">
        <v>128</v>
      </c>
      <c r="AE6" s="126" t="s">
        <v>142</v>
      </c>
      <c r="AF6" s="126" t="s">
        <v>142</v>
      </c>
      <c r="AG6" s="126" t="s">
        <v>142</v>
      </c>
      <c r="AH6" s="129" t="s">
        <v>145</v>
      </c>
      <c r="AI6" s="129" t="s">
        <v>145</v>
      </c>
      <c r="AJ6" s="64" t="s">
        <v>310</v>
      </c>
      <c r="AK6" s="64" t="s">
        <v>276</v>
      </c>
      <c r="AL6" s="64" t="s">
        <v>113</v>
      </c>
      <c r="AM6" s="64" t="s">
        <v>138</v>
      </c>
      <c r="AN6" s="64" t="s">
        <v>143</v>
      </c>
      <c r="AO6" s="64" t="s">
        <v>243</v>
      </c>
      <c r="AP6" s="80" t="s">
        <v>162</v>
      </c>
      <c r="AQ6" s="80" t="s">
        <v>162</v>
      </c>
      <c r="AR6" s="80" t="s">
        <v>162</v>
      </c>
      <c r="AS6" s="116" t="s">
        <v>141</v>
      </c>
      <c r="AT6" s="113" t="s">
        <v>141</v>
      </c>
      <c r="AU6" s="113" t="s">
        <v>141</v>
      </c>
      <c r="AV6" s="113" t="s">
        <v>141</v>
      </c>
      <c r="AW6" s="83" t="s">
        <v>199</v>
      </c>
      <c r="AX6" s="83" t="s">
        <v>199</v>
      </c>
      <c r="AY6" s="83" t="s">
        <v>199</v>
      </c>
      <c r="AZ6" s="83" t="s">
        <v>199</v>
      </c>
      <c r="BA6" s="83" t="s">
        <v>199</v>
      </c>
      <c r="BB6" s="83" t="s">
        <v>199</v>
      </c>
      <c r="BC6" s="83" t="s">
        <v>199</v>
      </c>
      <c r="BD6" s="132" t="s">
        <v>248</v>
      </c>
      <c r="BE6" s="132" t="s">
        <v>248</v>
      </c>
      <c r="BF6" s="132" t="s">
        <v>248</v>
      </c>
      <c r="BG6" s="64" t="s">
        <v>317</v>
      </c>
      <c r="BH6" s="135" t="s">
        <v>127</v>
      </c>
      <c r="BI6" s="135" t="s">
        <v>127</v>
      </c>
      <c r="BJ6" s="64" t="s">
        <v>319</v>
      </c>
      <c r="BK6" s="80" t="s">
        <v>270</v>
      </c>
      <c r="BL6" s="64" t="s">
        <v>316</v>
      </c>
      <c r="BM6" s="96" t="s">
        <v>226</v>
      </c>
      <c r="BN6" s="96" t="s">
        <v>226</v>
      </c>
      <c r="BO6" s="96" t="s">
        <v>226</v>
      </c>
      <c r="BP6" s="78" t="s">
        <v>165</v>
      </c>
      <c r="BQ6" s="78" t="s">
        <v>165</v>
      </c>
      <c r="BR6" s="78" t="s">
        <v>165</v>
      </c>
      <c r="BS6" s="90" t="s">
        <v>172</v>
      </c>
      <c r="BT6" s="90" t="s">
        <v>172</v>
      </c>
      <c r="BU6" s="90" t="s">
        <v>172</v>
      </c>
      <c r="BV6" s="93" t="s">
        <v>229</v>
      </c>
      <c r="BW6" s="93" t="s">
        <v>229</v>
      </c>
      <c r="BX6" s="93" t="s">
        <v>229</v>
      </c>
      <c r="BY6" s="87" t="s">
        <v>218</v>
      </c>
      <c r="BZ6" s="87" t="s">
        <v>218</v>
      </c>
      <c r="CA6" s="87" t="s">
        <v>218</v>
      </c>
      <c r="CB6" s="64" t="s">
        <v>123</v>
      </c>
      <c r="CC6" s="64" t="s">
        <v>123</v>
      </c>
      <c r="CD6" s="119" t="s">
        <v>240</v>
      </c>
      <c r="CE6" s="99" t="s">
        <v>177</v>
      </c>
      <c r="CF6" s="99" t="s">
        <v>177</v>
      </c>
      <c r="CG6" s="99" t="s">
        <v>177</v>
      </c>
      <c r="CH6" s="113" t="s">
        <v>232</v>
      </c>
      <c r="CI6" s="113" t="s">
        <v>232</v>
      </c>
    </row>
    <row r="7" spans="1:87" s="4" customFormat="1" ht="13.5" thickBot="1" x14ac:dyDescent="0.25">
      <c r="A7" s="12" t="s">
        <v>63</v>
      </c>
      <c r="B7" s="52" t="s">
        <v>2</v>
      </c>
      <c r="C7" s="7" t="s">
        <v>2</v>
      </c>
      <c r="D7" s="25" t="s">
        <v>2</v>
      </c>
      <c r="E7" s="25" t="s">
        <v>2</v>
      </c>
      <c r="F7" s="25" t="s">
        <v>2</v>
      </c>
      <c r="G7" s="25" t="s">
        <v>2</v>
      </c>
      <c r="H7" s="25" t="s">
        <v>207</v>
      </c>
      <c r="I7" s="25" t="s">
        <v>241</v>
      </c>
      <c r="J7" s="122" t="s">
        <v>2</v>
      </c>
      <c r="K7" s="122" t="s">
        <v>2</v>
      </c>
      <c r="L7" s="122" t="s">
        <v>2</v>
      </c>
      <c r="M7" s="122" t="s">
        <v>2</v>
      </c>
      <c r="N7" s="25" t="s">
        <v>2</v>
      </c>
      <c r="O7" s="25" t="s">
        <v>207</v>
      </c>
      <c r="P7" s="25" t="s">
        <v>207</v>
      </c>
      <c r="Q7" s="123"/>
      <c r="R7" s="25" t="s">
        <v>2</v>
      </c>
      <c r="S7" s="25" t="s">
        <v>2</v>
      </c>
      <c r="T7" s="25" t="s">
        <v>2</v>
      </c>
      <c r="U7" s="25" t="s">
        <v>2</v>
      </c>
      <c r="V7" s="25" t="s">
        <v>2</v>
      </c>
      <c r="W7" s="25" t="s">
        <v>2</v>
      </c>
      <c r="X7" s="25" t="s">
        <v>241</v>
      </c>
      <c r="Y7" s="25" t="s">
        <v>2</v>
      </c>
      <c r="Z7" s="25" t="s">
        <v>241</v>
      </c>
      <c r="AA7" s="25" t="s">
        <v>2</v>
      </c>
      <c r="AB7" s="25" t="s">
        <v>2</v>
      </c>
      <c r="AC7" s="25" t="s">
        <v>2</v>
      </c>
      <c r="AD7" s="25" t="s">
        <v>2</v>
      </c>
      <c r="AE7" s="25" t="s">
        <v>2</v>
      </c>
      <c r="AF7" s="25" t="s">
        <v>2</v>
      </c>
      <c r="AG7" s="25" t="s">
        <v>2</v>
      </c>
      <c r="AH7" s="25" t="s">
        <v>2</v>
      </c>
      <c r="AI7" s="25" t="s">
        <v>2</v>
      </c>
      <c r="AJ7" s="25" t="s">
        <v>2</v>
      </c>
      <c r="AK7" s="25" t="s">
        <v>2</v>
      </c>
      <c r="AL7" s="25" t="s">
        <v>2</v>
      </c>
      <c r="AM7" s="25" t="s">
        <v>2</v>
      </c>
      <c r="AN7" s="25" t="s">
        <v>2</v>
      </c>
      <c r="AO7" s="25" t="s">
        <v>2</v>
      </c>
      <c r="AP7" s="25" t="s">
        <v>2</v>
      </c>
      <c r="AQ7" s="25" t="s">
        <v>207</v>
      </c>
      <c r="AR7" s="25" t="s">
        <v>241</v>
      </c>
      <c r="AS7" s="104" t="s">
        <v>2</v>
      </c>
      <c r="AT7" s="25" t="s">
        <v>207</v>
      </c>
      <c r="AU7" s="25" t="s">
        <v>2</v>
      </c>
      <c r="AV7" s="25" t="s">
        <v>207</v>
      </c>
      <c r="AW7" s="25" t="s">
        <v>2</v>
      </c>
      <c r="AX7" s="25" t="s">
        <v>2</v>
      </c>
      <c r="AY7" s="25" t="s">
        <v>207</v>
      </c>
      <c r="AZ7" s="25" t="s">
        <v>241</v>
      </c>
      <c r="BA7" s="25" t="s">
        <v>2</v>
      </c>
      <c r="BB7" s="25" t="s">
        <v>207</v>
      </c>
      <c r="BC7" s="25" t="s">
        <v>241</v>
      </c>
      <c r="BD7" s="25" t="s">
        <v>2</v>
      </c>
      <c r="BE7" s="25" t="s">
        <v>207</v>
      </c>
      <c r="BF7" s="25" t="s">
        <v>241</v>
      </c>
      <c r="BG7" s="25" t="s">
        <v>2</v>
      </c>
      <c r="BH7" s="25" t="s">
        <v>2</v>
      </c>
      <c r="BI7" s="25" t="s">
        <v>2</v>
      </c>
      <c r="BJ7" s="25" t="s">
        <v>2</v>
      </c>
      <c r="BK7" s="25" t="s">
        <v>2</v>
      </c>
      <c r="BL7" s="25" t="s">
        <v>2</v>
      </c>
      <c r="BM7" s="25" t="s">
        <v>2</v>
      </c>
      <c r="BN7" s="25" t="s">
        <v>2</v>
      </c>
      <c r="BO7" s="25" t="s">
        <v>207</v>
      </c>
      <c r="BP7" s="25" t="s">
        <v>2</v>
      </c>
      <c r="BQ7" s="25" t="s">
        <v>241</v>
      </c>
      <c r="BR7" s="25" t="s">
        <v>207</v>
      </c>
      <c r="BS7" s="25" t="s">
        <v>2</v>
      </c>
      <c r="BT7" s="25" t="s">
        <v>207</v>
      </c>
      <c r="BU7" s="25" t="s">
        <v>241</v>
      </c>
      <c r="BV7" s="25" t="s">
        <v>2</v>
      </c>
      <c r="BW7" s="25" t="s">
        <v>207</v>
      </c>
      <c r="BX7" s="25" t="s">
        <v>241</v>
      </c>
      <c r="BY7" s="25" t="s">
        <v>2</v>
      </c>
      <c r="BZ7" s="25" t="s">
        <v>207</v>
      </c>
      <c r="CA7" s="25" t="s">
        <v>241</v>
      </c>
      <c r="CB7" s="25" t="s">
        <v>2</v>
      </c>
      <c r="CC7" s="25" t="s">
        <v>241</v>
      </c>
      <c r="CD7" s="25" t="s">
        <v>2</v>
      </c>
      <c r="CE7" s="25" t="s">
        <v>2</v>
      </c>
      <c r="CF7" s="25" t="s">
        <v>2</v>
      </c>
      <c r="CG7" s="25" t="s">
        <v>2</v>
      </c>
      <c r="CH7" s="25" t="s">
        <v>2</v>
      </c>
      <c r="CI7" s="25" t="s">
        <v>207</v>
      </c>
    </row>
    <row r="8" spans="1:87" s="9" customFormat="1" x14ac:dyDescent="0.25">
      <c r="A8" s="11">
        <v>886</v>
      </c>
      <c r="B8" s="53" t="s">
        <v>3</v>
      </c>
      <c r="C8" s="8">
        <f t="shared" ref="C8:C39" si="0">SUM(D8:CI8)</f>
        <v>29139494</v>
      </c>
      <c r="D8" s="27">
        <v>27768732</v>
      </c>
      <c r="E8" s="27">
        <v>0</v>
      </c>
      <c r="F8" s="26">
        <f>11033+5621+3356+2550+484+10786+14453+3982+13310+330+4257</f>
        <v>70162</v>
      </c>
      <c r="G8" s="26">
        <v>161</v>
      </c>
      <c r="H8" s="26"/>
      <c r="I8" s="26"/>
      <c r="J8" s="39">
        <v>12498</v>
      </c>
      <c r="K8" s="38">
        <v>8892</v>
      </c>
      <c r="L8" s="38">
        <v>0</v>
      </c>
      <c r="M8" s="42">
        <v>181</v>
      </c>
      <c r="N8" s="26">
        <v>235738</v>
      </c>
      <c r="O8" s="26">
        <v>-279737</v>
      </c>
      <c r="P8" s="26">
        <v>-149193</v>
      </c>
      <c r="Q8" s="138"/>
      <c r="R8" s="26">
        <v>36571</v>
      </c>
      <c r="S8" s="26"/>
      <c r="T8" s="27"/>
      <c r="U8" s="27"/>
      <c r="V8" s="27"/>
      <c r="W8" s="27"/>
      <c r="X8" s="27"/>
      <c r="Y8" s="26"/>
      <c r="Z8" s="26"/>
      <c r="AA8" s="26"/>
      <c r="AB8" s="26">
        <v>0</v>
      </c>
      <c r="AC8" s="26">
        <v>0</v>
      </c>
      <c r="AD8" s="27"/>
      <c r="AE8" s="38">
        <v>105552</v>
      </c>
      <c r="AF8" s="38"/>
      <c r="AG8" s="38"/>
      <c r="AH8" s="26"/>
      <c r="AI8" s="26"/>
      <c r="AJ8" s="26"/>
      <c r="AK8" s="26"/>
      <c r="AL8" s="26">
        <v>42903</v>
      </c>
      <c r="AM8" s="42"/>
      <c r="AN8" s="26">
        <v>431283</v>
      </c>
      <c r="AO8" s="26"/>
      <c r="AP8" s="26">
        <v>51724</v>
      </c>
      <c r="AQ8" s="26">
        <f>-3048</f>
        <v>-3048</v>
      </c>
      <c r="AR8" s="26">
        <f>18000+18500+2000</f>
        <v>38500</v>
      </c>
      <c r="AS8" s="42"/>
      <c r="AT8" s="42"/>
      <c r="AU8" s="42"/>
      <c r="AV8" s="42"/>
      <c r="AW8" s="27">
        <v>0</v>
      </c>
      <c r="AX8" s="26">
        <v>15000</v>
      </c>
      <c r="AY8" s="70"/>
      <c r="AZ8" s="70"/>
      <c r="BA8" s="26">
        <v>24147</v>
      </c>
      <c r="BB8" s="26"/>
      <c r="BC8" s="26"/>
      <c r="BD8" s="39"/>
      <c r="BE8" s="39"/>
      <c r="BF8" s="39"/>
      <c r="BG8" s="27">
        <v>29455</v>
      </c>
      <c r="BH8" s="27">
        <v>49960</v>
      </c>
      <c r="BI8" s="101">
        <v>25000</v>
      </c>
      <c r="BJ8" s="105"/>
      <c r="BK8" s="26"/>
      <c r="BL8" s="101"/>
      <c r="BM8" s="26"/>
      <c r="BN8" s="26"/>
      <c r="BO8" s="26"/>
      <c r="BP8" s="26">
        <v>52214</v>
      </c>
      <c r="BQ8" s="26"/>
      <c r="BR8" s="26"/>
      <c r="BS8" s="26">
        <v>65694</v>
      </c>
      <c r="BT8" s="26"/>
      <c r="BU8" s="26"/>
      <c r="BV8" s="26">
        <v>97916</v>
      </c>
      <c r="BW8" s="26"/>
      <c r="BX8" s="26"/>
      <c r="BY8" s="26">
        <v>50066</v>
      </c>
      <c r="BZ8" s="26"/>
      <c r="CA8" s="26"/>
      <c r="CB8" s="26">
        <v>19102</v>
      </c>
      <c r="CC8" s="26"/>
      <c r="CD8" s="26">
        <v>246584</v>
      </c>
      <c r="CE8" s="26"/>
      <c r="CF8" s="26"/>
      <c r="CG8" s="26"/>
      <c r="CH8" s="26">
        <v>93437</v>
      </c>
      <c r="CI8" s="26"/>
    </row>
    <row r="9" spans="1:87" s="9" customFormat="1" x14ac:dyDescent="0.25">
      <c r="A9" s="11">
        <v>802</v>
      </c>
      <c r="B9" s="53" t="s">
        <v>4</v>
      </c>
      <c r="C9" s="8">
        <f t="shared" si="0"/>
        <v>42713251</v>
      </c>
      <c r="D9" s="27">
        <v>39731334</v>
      </c>
      <c r="E9" s="27">
        <v>0</v>
      </c>
      <c r="F9" s="26">
        <f>6378-234+7282+14838+5280+23510+8508+15840+19330+3080+7047+2618+12184-468+6060+4676+1232+54044+858+8580+13064+27164-5038</f>
        <v>235833</v>
      </c>
      <c r="G9" s="26">
        <v>0</v>
      </c>
      <c r="H9" s="26"/>
      <c r="I9" s="26">
        <f>3500+1800</f>
        <v>5300</v>
      </c>
      <c r="J9" s="39">
        <v>449381</v>
      </c>
      <c r="K9" s="39">
        <v>1116</v>
      </c>
      <c r="L9" s="39">
        <v>95351</v>
      </c>
      <c r="M9" s="42">
        <v>412697</v>
      </c>
      <c r="N9" s="26">
        <v>306994</v>
      </c>
      <c r="O9" s="26">
        <v>-401786</v>
      </c>
      <c r="P9" s="105">
        <v>-214286</v>
      </c>
      <c r="Q9" s="39"/>
      <c r="R9" s="26">
        <v>50357</v>
      </c>
      <c r="S9" s="26"/>
      <c r="T9" s="27"/>
      <c r="U9" s="27"/>
      <c r="V9" s="27"/>
      <c r="W9" s="27"/>
      <c r="X9" s="27"/>
      <c r="Y9" s="26"/>
      <c r="Z9" s="26"/>
      <c r="AA9" s="26"/>
      <c r="AB9" s="26">
        <v>0</v>
      </c>
      <c r="AC9" s="26">
        <v>0</v>
      </c>
      <c r="AD9" s="27"/>
      <c r="AE9" s="39"/>
      <c r="AF9" s="39">
        <v>52776</v>
      </c>
      <c r="AG9" s="39"/>
      <c r="AH9" s="26"/>
      <c r="AI9" s="26"/>
      <c r="AJ9" s="26"/>
      <c r="AK9" s="26"/>
      <c r="AL9" s="26"/>
      <c r="AM9" s="42"/>
      <c r="AN9" s="26">
        <v>336743</v>
      </c>
      <c r="AO9" s="26"/>
      <c r="AP9" s="26">
        <v>51724</v>
      </c>
      <c r="AQ9" s="26"/>
      <c r="AR9" s="26">
        <v>9510</v>
      </c>
      <c r="AS9" s="42"/>
      <c r="AT9" s="42"/>
      <c r="AU9" s="42"/>
      <c r="AV9" s="42"/>
      <c r="AW9" s="27">
        <v>0</v>
      </c>
      <c r="AX9" s="26">
        <v>15000</v>
      </c>
      <c r="AY9" s="70">
        <v>-13500</v>
      </c>
      <c r="AZ9" s="70"/>
      <c r="BA9" s="26">
        <v>36680</v>
      </c>
      <c r="BB9" s="26"/>
      <c r="BC9" s="26"/>
      <c r="BD9" s="39">
        <v>838051</v>
      </c>
      <c r="BE9" s="39">
        <f>-42500</f>
        <v>-42500</v>
      </c>
      <c r="BF9" s="39"/>
      <c r="BG9" s="27">
        <v>27686</v>
      </c>
      <c r="BH9" s="27"/>
      <c r="BI9" s="101"/>
      <c r="BJ9" s="105"/>
      <c r="BK9" s="26"/>
      <c r="BL9" s="101"/>
      <c r="BM9" s="26"/>
      <c r="BN9" s="26"/>
      <c r="BO9" s="26"/>
      <c r="BP9" s="26">
        <v>73407</v>
      </c>
      <c r="BQ9" s="26"/>
      <c r="BR9" s="26">
        <f>-22000</f>
        <v>-22000</v>
      </c>
      <c r="BS9" s="26">
        <v>114852</v>
      </c>
      <c r="BT9" s="26"/>
      <c r="BU9" s="26"/>
      <c r="BV9" s="26">
        <v>138663</v>
      </c>
      <c r="BW9" s="26"/>
      <c r="BX9" s="26"/>
      <c r="BY9" s="26">
        <v>70901</v>
      </c>
      <c r="BZ9" s="26">
        <f>-68000</f>
        <v>-68000</v>
      </c>
      <c r="CA9" s="26"/>
      <c r="CB9" s="26">
        <v>14371</v>
      </c>
      <c r="CC9" s="26">
        <v>1196</v>
      </c>
      <c r="CD9" s="26">
        <v>288660</v>
      </c>
      <c r="CE9" s="26"/>
      <c r="CF9" s="26"/>
      <c r="CG9" s="26"/>
      <c r="CH9" s="26">
        <v>136740</v>
      </c>
      <c r="CI9" s="26">
        <f>-20000</f>
        <v>-20000</v>
      </c>
    </row>
    <row r="10" spans="1:87" s="9" customFormat="1" x14ac:dyDescent="0.25">
      <c r="A10" s="11">
        <v>804</v>
      </c>
      <c r="B10" s="53" t="s">
        <v>5</v>
      </c>
      <c r="C10" s="8">
        <f t="shared" si="0"/>
        <v>12745476</v>
      </c>
      <c r="D10" s="27">
        <v>11886056</v>
      </c>
      <c r="E10" s="27">
        <v>142772</v>
      </c>
      <c r="F10" s="26">
        <f>1886+2640+144+40+3460+1217+7762-6</f>
        <v>17143</v>
      </c>
      <c r="G10" s="26">
        <v>83</v>
      </c>
      <c r="H10" s="26"/>
      <c r="I10" s="26"/>
      <c r="J10" s="39">
        <v>0</v>
      </c>
      <c r="K10" s="39">
        <v>0</v>
      </c>
      <c r="L10" s="39">
        <v>7488</v>
      </c>
      <c r="M10" s="42">
        <v>108</v>
      </c>
      <c r="N10" s="26">
        <v>86108</v>
      </c>
      <c r="O10" s="26">
        <v>-118747</v>
      </c>
      <c r="P10" s="105">
        <v>-63332</v>
      </c>
      <c r="Q10" s="39"/>
      <c r="R10" s="26">
        <v>11570</v>
      </c>
      <c r="S10" s="26">
        <v>12352</v>
      </c>
      <c r="T10" s="27"/>
      <c r="U10" s="27"/>
      <c r="V10" s="27"/>
      <c r="W10" s="27"/>
      <c r="X10" s="27"/>
      <c r="Y10" s="26"/>
      <c r="Z10" s="26"/>
      <c r="AA10" s="26"/>
      <c r="AB10" s="26">
        <v>0</v>
      </c>
      <c r="AC10" s="26">
        <v>0</v>
      </c>
      <c r="AD10" s="27"/>
      <c r="AE10" s="39"/>
      <c r="AF10" s="39">
        <f>79164+79164</f>
        <v>158328</v>
      </c>
      <c r="AG10" s="39">
        <v>79164</v>
      </c>
      <c r="AH10" s="26">
        <v>10000</v>
      </c>
      <c r="AI10" s="26"/>
      <c r="AJ10" s="26">
        <v>8887</v>
      </c>
      <c r="AK10" s="26"/>
      <c r="AL10" s="26"/>
      <c r="AM10" s="42"/>
      <c r="AN10" s="26">
        <v>122701</v>
      </c>
      <c r="AO10" s="26"/>
      <c r="AP10" s="26">
        <v>51724</v>
      </c>
      <c r="AQ10" s="26">
        <v>-5000</v>
      </c>
      <c r="AR10" s="26"/>
      <c r="AS10" s="42"/>
      <c r="AT10" s="42"/>
      <c r="AU10" s="42"/>
      <c r="AV10" s="42"/>
      <c r="AW10" s="27">
        <v>0</v>
      </c>
      <c r="AX10" s="26">
        <v>15000</v>
      </c>
      <c r="AY10" s="70">
        <v>-15000</v>
      </c>
      <c r="AZ10" s="70"/>
      <c r="BA10" s="70">
        <v>9197</v>
      </c>
      <c r="BB10" s="70">
        <f>-117</f>
        <v>-117</v>
      </c>
      <c r="BC10" s="70"/>
      <c r="BD10" s="39"/>
      <c r="BE10" s="39"/>
      <c r="BF10" s="39"/>
      <c r="BG10" s="27">
        <v>7734</v>
      </c>
      <c r="BH10" s="27"/>
      <c r="BI10" s="101"/>
      <c r="BJ10" s="105"/>
      <c r="BK10" s="26"/>
      <c r="BL10" s="101"/>
      <c r="BM10" s="26"/>
      <c r="BN10" s="26"/>
      <c r="BO10" s="26"/>
      <c r="BP10" s="26">
        <v>33439</v>
      </c>
      <c r="BQ10" s="26"/>
      <c r="BR10" s="26"/>
      <c r="BS10" s="26">
        <v>29214</v>
      </c>
      <c r="BT10" s="26"/>
      <c r="BU10" s="26"/>
      <c r="BV10" s="26">
        <v>37173</v>
      </c>
      <c r="BW10" s="26"/>
      <c r="BX10" s="26"/>
      <c r="BY10" s="26">
        <v>19007</v>
      </c>
      <c r="BZ10" s="26"/>
      <c r="CA10" s="26"/>
      <c r="CB10" s="26">
        <v>19102</v>
      </c>
      <c r="CC10" s="26"/>
      <c r="CD10" s="26">
        <v>141543</v>
      </c>
      <c r="CE10" s="26"/>
      <c r="CF10" s="26"/>
      <c r="CG10" s="26"/>
      <c r="CH10" s="26">
        <v>41779</v>
      </c>
      <c r="CI10" s="26"/>
    </row>
    <row r="11" spans="1:87" s="9" customFormat="1" x14ac:dyDescent="0.25">
      <c r="A11" s="11">
        <v>806</v>
      </c>
      <c r="B11" s="53" t="s">
        <v>6</v>
      </c>
      <c r="C11" s="8">
        <f t="shared" si="0"/>
        <v>12062312</v>
      </c>
      <c r="D11" s="27">
        <v>10616018</v>
      </c>
      <c r="E11" s="27">
        <v>0</v>
      </c>
      <c r="F11" s="26">
        <f>4400-3082</f>
        <v>1318</v>
      </c>
      <c r="G11" s="26">
        <v>0</v>
      </c>
      <c r="H11" s="26"/>
      <c r="I11" s="26">
        <f>700</f>
        <v>700</v>
      </c>
      <c r="J11" s="39">
        <v>115815</v>
      </c>
      <c r="K11" s="39">
        <v>5103</v>
      </c>
      <c r="L11" s="39">
        <v>14767</v>
      </c>
      <c r="M11" s="42">
        <v>100336</v>
      </c>
      <c r="N11" s="26">
        <v>151606</v>
      </c>
      <c r="O11" s="26">
        <v>-105470</v>
      </c>
      <c r="P11" s="105">
        <v>-56251</v>
      </c>
      <c r="Q11" s="39"/>
      <c r="R11" s="26">
        <v>15692</v>
      </c>
      <c r="S11" s="26">
        <v>16753</v>
      </c>
      <c r="T11" s="27"/>
      <c r="U11" s="27"/>
      <c r="V11" s="27"/>
      <c r="W11" s="27"/>
      <c r="X11" s="27"/>
      <c r="Y11" s="26"/>
      <c r="Z11" s="26"/>
      <c r="AA11" s="26"/>
      <c r="AB11" s="26">
        <v>0</v>
      </c>
      <c r="AC11" s="26">
        <v>0</v>
      </c>
      <c r="AD11" s="27"/>
      <c r="AE11" s="39">
        <v>79164</v>
      </c>
      <c r="AF11" s="39"/>
      <c r="AG11" s="39"/>
      <c r="AH11" s="26"/>
      <c r="AI11" s="26"/>
      <c r="AJ11" s="26"/>
      <c r="AK11" s="26"/>
      <c r="AL11" s="26"/>
      <c r="AM11" s="42"/>
      <c r="AN11" s="26">
        <v>90411</v>
      </c>
      <c r="AO11" s="26"/>
      <c r="AP11" s="26">
        <v>51724</v>
      </c>
      <c r="AQ11" s="26">
        <f>-25000-10000-6824</f>
        <v>-41824</v>
      </c>
      <c r="AR11" s="26"/>
      <c r="AS11" s="42"/>
      <c r="AT11" s="42"/>
      <c r="AU11" s="42"/>
      <c r="AV11" s="42"/>
      <c r="AW11" s="27">
        <v>0</v>
      </c>
      <c r="AX11" s="26">
        <v>15000</v>
      </c>
      <c r="AY11" s="70">
        <v>-12228</v>
      </c>
      <c r="AZ11" s="70"/>
      <c r="BA11" s="26">
        <v>8637</v>
      </c>
      <c r="BB11" s="26"/>
      <c r="BC11" s="26"/>
      <c r="BD11" s="39"/>
      <c r="BE11" s="39"/>
      <c r="BF11" s="39"/>
      <c r="BG11" s="27">
        <v>5285</v>
      </c>
      <c r="BH11" s="27"/>
      <c r="BI11" s="101"/>
      <c r="BJ11" s="105"/>
      <c r="BK11" s="26"/>
      <c r="BL11" s="101"/>
      <c r="BM11" s="26">
        <v>513360</v>
      </c>
      <c r="BN11" s="26">
        <f>207376+43496</f>
        <v>250872</v>
      </c>
      <c r="BO11" s="26"/>
      <c r="BP11" s="26">
        <v>31465</v>
      </c>
      <c r="BQ11" s="26"/>
      <c r="BR11" s="26"/>
      <c r="BS11" s="26">
        <v>24923</v>
      </c>
      <c r="BT11" s="26"/>
      <c r="BU11" s="26"/>
      <c r="BV11" s="26">
        <v>31223</v>
      </c>
      <c r="BW11" s="26"/>
      <c r="BX11" s="26"/>
      <c r="BY11" s="26">
        <v>15965</v>
      </c>
      <c r="BZ11" s="26"/>
      <c r="CA11" s="26"/>
      <c r="CB11" s="26">
        <v>19102</v>
      </c>
      <c r="CC11" s="26"/>
      <c r="CD11" s="26">
        <v>93001</v>
      </c>
      <c r="CE11" s="26"/>
      <c r="CF11" s="26"/>
      <c r="CG11" s="26"/>
      <c r="CH11" s="26">
        <v>39845</v>
      </c>
      <c r="CI11" s="26">
        <f>-30000</f>
        <v>-30000</v>
      </c>
    </row>
    <row r="12" spans="1:87" s="9" customFormat="1" x14ac:dyDescent="0.25">
      <c r="A12" s="11">
        <v>843</v>
      </c>
      <c r="B12" s="53" t="s">
        <v>7</v>
      </c>
      <c r="C12" s="8">
        <f t="shared" si="0"/>
        <v>17974874</v>
      </c>
      <c r="D12" s="27">
        <v>17118953</v>
      </c>
      <c r="E12" s="27">
        <v>0</v>
      </c>
      <c r="F12" s="26">
        <f>5500+9242+1458+7050+160-3967</f>
        <v>19443</v>
      </c>
      <c r="G12" s="26">
        <v>1051</v>
      </c>
      <c r="H12" s="26"/>
      <c r="I12" s="26"/>
      <c r="J12" s="39">
        <v>678</v>
      </c>
      <c r="K12" s="39">
        <v>1261</v>
      </c>
      <c r="L12" s="39">
        <v>32479</v>
      </c>
      <c r="M12" s="42">
        <v>9</v>
      </c>
      <c r="N12" s="26">
        <v>141437</v>
      </c>
      <c r="O12" s="26">
        <v>-171997</v>
      </c>
      <c r="P12" s="105">
        <v>-91732</v>
      </c>
      <c r="Q12" s="39"/>
      <c r="R12" s="26">
        <v>17288</v>
      </c>
      <c r="S12" s="26">
        <v>18457</v>
      </c>
      <c r="T12" s="27"/>
      <c r="U12" s="27"/>
      <c r="V12" s="27"/>
      <c r="W12" s="27"/>
      <c r="X12" s="27"/>
      <c r="Y12" s="26"/>
      <c r="Z12" s="26"/>
      <c r="AA12" s="26"/>
      <c r="AB12" s="26">
        <v>0</v>
      </c>
      <c r="AC12" s="26">
        <v>0</v>
      </c>
      <c r="AD12" s="27"/>
      <c r="AE12" s="39">
        <f>52776+79164</f>
        <v>131940</v>
      </c>
      <c r="AF12" s="39"/>
      <c r="AG12" s="39"/>
      <c r="AH12" s="26"/>
      <c r="AI12" s="26"/>
      <c r="AJ12" s="26"/>
      <c r="AK12" s="26"/>
      <c r="AL12" s="26"/>
      <c r="AM12" s="42"/>
      <c r="AN12" s="26">
        <v>155801</v>
      </c>
      <c r="AO12" s="26"/>
      <c r="AP12" s="26">
        <v>51724</v>
      </c>
      <c r="AQ12" s="26">
        <f>-274</f>
        <v>-274</v>
      </c>
      <c r="AR12" s="26">
        <f>12000</f>
        <v>12000</v>
      </c>
      <c r="AS12" s="42"/>
      <c r="AT12" s="42"/>
      <c r="AU12" s="42"/>
      <c r="AV12" s="42"/>
      <c r="AW12" s="27">
        <v>0</v>
      </c>
      <c r="AX12" s="26">
        <v>15000</v>
      </c>
      <c r="AY12" s="70"/>
      <c r="AZ12" s="70">
        <v>3500</v>
      </c>
      <c r="BA12" s="26">
        <v>13665</v>
      </c>
      <c r="BB12" s="26"/>
      <c r="BC12" s="26">
        <f>38615</f>
        <v>38615</v>
      </c>
      <c r="BD12" s="39"/>
      <c r="BE12" s="39"/>
      <c r="BF12" s="39"/>
      <c r="BG12" s="27">
        <v>14134</v>
      </c>
      <c r="BH12" s="27"/>
      <c r="BI12" s="101"/>
      <c r="BJ12" s="105"/>
      <c r="BK12" s="26"/>
      <c r="BL12" s="101"/>
      <c r="BM12" s="26"/>
      <c r="BN12" s="26"/>
      <c r="BO12" s="26"/>
      <c r="BP12" s="26">
        <v>38117</v>
      </c>
      <c r="BQ12" s="26"/>
      <c r="BR12" s="26"/>
      <c r="BS12" s="26">
        <v>40423</v>
      </c>
      <c r="BT12" s="26"/>
      <c r="BU12" s="26"/>
      <c r="BV12" s="26">
        <v>54582</v>
      </c>
      <c r="BW12" s="26"/>
      <c r="BX12" s="26"/>
      <c r="BY12" s="26">
        <v>27909</v>
      </c>
      <c r="BZ12" s="26"/>
      <c r="CA12" s="26"/>
      <c r="CB12" s="26">
        <v>14371</v>
      </c>
      <c r="CC12" s="26">
        <v>4404</v>
      </c>
      <c r="CD12" s="26">
        <v>214421</v>
      </c>
      <c r="CE12" s="26"/>
      <c r="CF12" s="26"/>
      <c r="CG12" s="26"/>
      <c r="CH12" s="26">
        <v>57215</v>
      </c>
      <c r="CI12" s="26"/>
    </row>
    <row r="13" spans="1:87" s="9" customFormat="1" x14ac:dyDescent="0.25">
      <c r="A13" s="11">
        <v>807</v>
      </c>
      <c r="B13" s="53" t="s">
        <v>8</v>
      </c>
      <c r="C13" s="8">
        <f t="shared" si="0"/>
        <v>13663332</v>
      </c>
      <c r="D13" s="27">
        <v>12830546</v>
      </c>
      <c r="E13" s="27">
        <v>0</v>
      </c>
      <c r="F13" s="26">
        <v>0</v>
      </c>
      <c r="G13" s="26">
        <v>0</v>
      </c>
      <c r="H13" s="26"/>
      <c r="I13" s="26"/>
      <c r="J13" s="39">
        <v>0</v>
      </c>
      <c r="K13" s="39">
        <v>1269</v>
      </c>
      <c r="L13" s="39">
        <v>481</v>
      </c>
      <c r="M13" s="42">
        <v>0</v>
      </c>
      <c r="N13" s="26">
        <v>111825</v>
      </c>
      <c r="O13" s="26">
        <v>-128649</v>
      </c>
      <c r="P13" s="105">
        <v>-68613</v>
      </c>
      <c r="Q13" s="39"/>
      <c r="R13" s="26">
        <v>9974</v>
      </c>
      <c r="S13" s="26">
        <v>10648</v>
      </c>
      <c r="T13" s="27"/>
      <c r="U13" s="27"/>
      <c r="V13" s="27"/>
      <c r="W13" s="27"/>
      <c r="X13" s="27"/>
      <c r="Y13" s="26"/>
      <c r="Z13" s="26"/>
      <c r="AA13" s="26"/>
      <c r="AB13" s="26">
        <v>0</v>
      </c>
      <c r="AC13" s="26">
        <v>0</v>
      </c>
      <c r="AD13" s="27"/>
      <c r="AE13" s="39">
        <v>79164</v>
      </c>
      <c r="AF13" s="39"/>
      <c r="AG13" s="39"/>
      <c r="AH13" s="26"/>
      <c r="AI13" s="26"/>
      <c r="AJ13" s="26"/>
      <c r="AK13" s="26"/>
      <c r="AL13" s="26"/>
      <c r="AM13" s="42">
        <v>124702</v>
      </c>
      <c r="AN13" s="26">
        <v>242067</v>
      </c>
      <c r="AO13" s="26"/>
      <c r="AP13" s="26">
        <v>51724</v>
      </c>
      <c r="AQ13" s="26"/>
      <c r="AR13" s="26">
        <f>15000+15000</f>
        <v>30000</v>
      </c>
      <c r="AS13" s="42"/>
      <c r="AT13" s="42"/>
      <c r="AU13" s="42"/>
      <c r="AV13" s="42"/>
      <c r="AW13" s="27">
        <v>0</v>
      </c>
      <c r="AX13" s="26">
        <v>15000</v>
      </c>
      <c r="AY13" s="70"/>
      <c r="AZ13" s="70"/>
      <c r="BA13" s="26">
        <v>9428</v>
      </c>
      <c r="BB13" s="26"/>
      <c r="BC13" s="26"/>
      <c r="BD13" s="39"/>
      <c r="BE13" s="39"/>
      <c r="BF13" s="39"/>
      <c r="BG13" s="27">
        <v>8121</v>
      </c>
      <c r="BH13" s="27"/>
      <c r="BI13" s="101"/>
      <c r="BJ13" s="105"/>
      <c r="BK13" s="26"/>
      <c r="BL13" s="101"/>
      <c r="BM13" s="26"/>
      <c r="BN13" s="26"/>
      <c r="BO13" s="26"/>
      <c r="BP13" s="26">
        <v>30286</v>
      </c>
      <c r="BQ13" s="26"/>
      <c r="BR13" s="26"/>
      <c r="BS13" s="26">
        <v>33231</v>
      </c>
      <c r="BT13" s="26"/>
      <c r="BU13" s="26"/>
      <c r="BV13" s="26">
        <v>41883</v>
      </c>
      <c r="BW13" s="26"/>
      <c r="BX13" s="26"/>
      <c r="BY13" s="26">
        <v>21415</v>
      </c>
      <c r="BZ13" s="26"/>
      <c r="CA13" s="26"/>
      <c r="CB13" s="26">
        <v>14371</v>
      </c>
      <c r="CC13" s="26"/>
      <c r="CD13" s="26">
        <v>151882</v>
      </c>
      <c r="CE13" s="26"/>
      <c r="CF13" s="26"/>
      <c r="CG13" s="26"/>
      <c r="CH13" s="26">
        <v>42577</v>
      </c>
      <c r="CI13" s="26"/>
    </row>
    <row r="14" spans="1:87" s="9" customFormat="1" x14ac:dyDescent="0.25">
      <c r="A14" s="11">
        <v>808</v>
      </c>
      <c r="B14" s="53" t="s">
        <v>9</v>
      </c>
      <c r="C14" s="8">
        <f t="shared" si="0"/>
        <v>27640716</v>
      </c>
      <c r="D14" s="27">
        <v>25944217</v>
      </c>
      <c r="E14" s="27">
        <v>0</v>
      </c>
      <c r="F14" s="26">
        <f>1669+2070+1781+2500+6866+8832+4708+50+6126+509+6037-369-5259</f>
        <v>35520</v>
      </c>
      <c r="G14" s="26">
        <v>0</v>
      </c>
      <c r="H14" s="26"/>
      <c r="I14" s="26"/>
      <c r="J14" s="39">
        <v>0</v>
      </c>
      <c r="K14" s="39">
        <v>3375</v>
      </c>
      <c r="L14" s="39">
        <v>14740</v>
      </c>
      <c r="M14" s="42">
        <v>342193</v>
      </c>
      <c r="N14" s="26">
        <v>273455</v>
      </c>
      <c r="O14" s="26">
        <v>-260847</v>
      </c>
      <c r="P14" s="105">
        <v>-139119</v>
      </c>
      <c r="Q14" s="39"/>
      <c r="R14" s="26">
        <v>25134</v>
      </c>
      <c r="S14" s="26">
        <v>26834</v>
      </c>
      <c r="T14" s="27"/>
      <c r="U14" s="27"/>
      <c r="V14" s="27"/>
      <c r="W14" s="27"/>
      <c r="X14" s="27"/>
      <c r="Y14" s="26"/>
      <c r="Z14" s="26"/>
      <c r="AA14" s="26"/>
      <c r="AB14" s="26">
        <v>0</v>
      </c>
      <c r="AC14" s="26">
        <v>0</v>
      </c>
      <c r="AD14" s="27">
        <v>19261</v>
      </c>
      <c r="AE14" s="39">
        <v>211104</v>
      </c>
      <c r="AF14" s="39"/>
      <c r="AG14" s="39"/>
      <c r="AH14" s="26"/>
      <c r="AI14" s="26"/>
      <c r="AJ14" s="26"/>
      <c r="AK14" s="26"/>
      <c r="AL14" s="26">
        <v>35000</v>
      </c>
      <c r="AM14" s="42"/>
      <c r="AN14" s="26">
        <v>200785</v>
      </c>
      <c r="AO14" s="26"/>
      <c r="AP14" s="26">
        <v>51224</v>
      </c>
      <c r="AQ14" s="26">
        <f>-5000</f>
        <v>-5000</v>
      </c>
      <c r="AR14" s="26">
        <f>7500+3000</f>
        <v>10500</v>
      </c>
      <c r="AS14" s="42"/>
      <c r="AT14" s="42"/>
      <c r="AU14" s="42"/>
      <c r="AV14" s="42"/>
      <c r="AW14" s="27">
        <v>0</v>
      </c>
      <c r="AX14" s="26">
        <v>15000</v>
      </c>
      <c r="AY14" s="70">
        <f>-9700</f>
        <v>-9700</v>
      </c>
      <c r="AZ14" s="70"/>
      <c r="BA14" s="26">
        <v>23665</v>
      </c>
      <c r="BB14" s="26"/>
      <c r="BC14" s="26">
        <f>6500+9700</f>
        <v>16200</v>
      </c>
      <c r="BD14" s="39"/>
      <c r="BE14" s="39"/>
      <c r="BF14" s="39"/>
      <c r="BG14" s="27">
        <v>10812</v>
      </c>
      <c r="BH14" s="27">
        <v>36781</v>
      </c>
      <c r="BI14" s="101">
        <v>25000</v>
      </c>
      <c r="BJ14" s="105">
        <v>35000</v>
      </c>
      <c r="BK14" s="26"/>
      <c r="BL14" s="101"/>
      <c r="BM14" s="26"/>
      <c r="BN14" s="26"/>
      <c r="BO14" s="26"/>
      <c r="BP14" s="26">
        <v>50028</v>
      </c>
      <c r="BQ14" s="26"/>
      <c r="BR14" s="26"/>
      <c r="BS14" s="26">
        <v>65277</v>
      </c>
      <c r="BT14" s="26"/>
      <c r="BU14" s="26"/>
      <c r="BV14" s="26">
        <v>85364</v>
      </c>
      <c r="BW14" s="26"/>
      <c r="BX14" s="26"/>
      <c r="BY14" s="26">
        <v>43648</v>
      </c>
      <c r="BZ14" s="26"/>
      <c r="CA14" s="26"/>
      <c r="CB14" s="26">
        <v>19102</v>
      </c>
      <c r="CC14" s="26"/>
      <c r="CD14" s="26">
        <v>344393</v>
      </c>
      <c r="CE14" s="26"/>
      <c r="CF14" s="26"/>
      <c r="CG14" s="26"/>
      <c r="CH14" s="26">
        <v>91770</v>
      </c>
      <c r="CI14" s="26"/>
    </row>
    <row r="15" spans="1:87" s="9" customFormat="1" x14ac:dyDescent="0.25">
      <c r="A15" s="11">
        <v>810</v>
      </c>
      <c r="B15" s="53" t="s">
        <v>10</v>
      </c>
      <c r="C15" s="8">
        <f t="shared" si="0"/>
        <v>55312487</v>
      </c>
      <c r="D15" s="27">
        <v>52578765</v>
      </c>
      <c r="E15" s="27">
        <v>0</v>
      </c>
      <c r="F15" s="26">
        <f>3225+6588+7349+1859+4538+9401+5544+2911+2173+9555+40+1598+11275+1870+4180-394+61+4345-1756</f>
        <v>74362</v>
      </c>
      <c r="G15" s="26">
        <v>0</v>
      </c>
      <c r="H15" s="26"/>
      <c r="I15" s="26"/>
      <c r="J15" s="39">
        <v>552110</v>
      </c>
      <c r="K15" s="39">
        <v>35406</v>
      </c>
      <c r="L15" s="39">
        <v>156234</v>
      </c>
      <c r="M15" s="42">
        <v>792853</v>
      </c>
      <c r="N15" s="26">
        <v>428551</v>
      </c>
      <c r="O15" s="26">
        <v>-526250</v>
      </c>
      <c r="P15" s="105">
        <v>-280667</v>
      </c>
      <c r="Q15" s="39"/>
      <c r="R15" s="26">
        <v>52884</v>
      </c>
      <c r="S15" s="26"/>
      <c r="T15" s="27"/>
      <c r="U15" s="27"/>
      <c r="V15" s="27"/>
      <c r="W15" s="27"/>
      <c r="X15" s="27"/>
      <c r="Y15" s="26"/>
      <c r="Z15" s="26"/>
      <c r="AA15" s="26"/>
      <c r="AB15" s="26">
        <v>0</v>
      </c>
      <c r="AC15" s="26">
        <v>0</v>
      </c>
      <c r="AD15" s="27"/>
      <c r="AE15" s="39"/>
      <c r="AF15" s="39">
        <f>39582</f>
        <v>39582</v>
      </c>
      <c r="AG15" s="39"/>
      <c r="AH15" s="26"/>
      <c r="AI15" s="26"/>
      <c r="AJ15" s="26"/>
      <c r="AK15" s="26"/>
      <c r="AL15" s="26"/>
      <c r="AM15" s="42"/>
      <c r="AN15" s="26">
        <v>272025</v>
      </c>
      <c r="AO15" s="26">
        <v>5000</v>
      </c>
      <c r="AP15" s="26">
        <v>51724</v>
      </c>
      <c r="AQ15" s="26">
        <f>-1500</f>
        <v>-1500</v>
      </c>
      <c r="AR15" s="26">
        <f>50000+50000+20000+11799+6175+7000</f>
        <v>144974</v>
      </c>
      <c r="AS15" s="42"/>
      <c r="AT15" s="42"/>
      <c r="AU15" s="42"/>
      <c r="AV15" s="42"/>
      <c r="AW15" s="27">
        <v>0</v>
      </c>
      <c r="AX15" s="26">
        <v>15000</v>
      </c>
      <c r="AY15" s="70"/>
      <c r="AZ15" s="70"/>
      <c r="BA15" s="26">
        <v>49375</v>
      </c>
      <c r="BB15" s="26">
        <v>-20000</v>
      </c>
      <c r="BC15" s="26"/>
      <c r="BD15" s="39"/>
      <c r="BE15" s="39"/>
      <c r="BF15" s="39"/>
      <c r="BG15" s="27">
        <v>25188</v>
      </c>
      <c r="BH15" s="27"/>
      <c r="BI15" s="101"/>
      <c r="BJ15" s="105"/>
      <c r="BK15" s="26"/>
      <c r="BL15" s="101"/>
      <c r="BM15" s="26"/>
      <c r="BN15" s="26"/>
      <c r="BO15" s="26"/>
      <c r="BP15" s="26">
        <v>84445</v>
      </c>
      <c r="BQ15" s="26">
        <v>12500</v>
      </c>
      <c r="BR15" s="26"/>
      <c r="BS15" s="26">
        <v>140099</v>
      </c>
      <c r="BT15" s="26">
        <f>-100000</f>
        <v>-100000</v>
      </c>
      <c r="BU15" s="26"/>
      <c r="BV15" s="26">
        <v>182270</v>
      </c>
      <c r="BW15" s="26"/>
      <c r="BX15" s="26"/>
      <c r="BY15" s="26">
        <v>93198</v>
      </c>
      <c r="BZ15" s="26">
        <f>-70000</f>
        <v>-70000</v>
      </c>
      <c r="CA15" s="26"/>
      <c r="CB15" s="26">
        <v>14371</v>
      </c>
      <c r="CC15" s="26">
        <v>2134</v>
      </c>
      <c r="CD15" s="26">
        <v>327247</v>
      </c>
      <c r="CE15" s="26"/>
      <c r="CF15" s="26"/>
      <c r="CG15" s="26"/>
      <c r="CH15" s="26">
        <v>180607</v>
      </c>
      <c r="CI15" s="26"/>
    </row>
    <row r="16" spans="1:87" s="9" customFormat="1" x14ac:dyDescent="0.25">
      <c r="A16" s="11">
        <v>812</v>
      </c>
      <c r="B16" s="53" t="s">
        <v>11</v>
      </c>
      <c r="C16" s="8">
        <f t="shared" si="0"/>
        <v>13190559</v>
      </c>
      <c r="D16" s="27">
        <v>12516312</v>
      </c>
      <c r="E16" s="27">
        <v>0</v>
      </c>
      <c r="F16" s="26">
        <f>2077-1161</f>
        <v>916</v>
      </c>
      <c r="G16" s="26">
        <v>0</v>
      </c>
      <c r="H16" s="26"/>
      <c r="I16" s="26"/>
      <c r="J16" s="39">
        <v>2583</v>
      </c>
      <c r="K16" s="39">
        <v>856</v>
      </c>
      <c r="L16" s="39">
        <v>145</v>
      </c>
      <c r="M16" s="42">
        <v>28</v>
      </c>
      <c r="N16" s="26">
        <v>140208</v>
      </c>
      <c r="O16" s="26">
        <v>-124483</v>
      </c>
      <c r="P16" s="105">
        <v>-66391</v>
      </c>
      <c r="Q16" s="39"/>
      <c r="R16" s="26">
        <v>21987</v>
      </c>
      <c r="S16" s="26">
        <v>23474</v>
      </c>
      <c r="T16" s="27"/>
      <c r="U16" s="27"/>
      <c r="V16" s="27"/>
      <c r="W16" s="27"/>
      <c r="X16" s="27"/>
      <c r="Y16" s="26"/>
      <c r="Z16" s="26"/>
      <c r="AA16" s="26"/>
      <c r="AB16" s="26">
        <v>0</v>
      </c>
      <c r="AC16" s="26">
        <v>0</v>
      </c>
      <c r="AD16" s="27"/>
      <c r="AE16" s="39"/>
      <c r="AF16" s="39">
        <v>105552</v>
      </c>
      <c r="AG16" s="39"/>
      <c r="AH16" s="26"/>
      <c r="AI16" s="26"/>
      <c r="AJ16" s="26"/>
      <c r="AK16" s="26"/>
      <c r="AL16" s="26">
        <v>35338</v>
      </c>
      <c r="AM16" s="42">
        <v>5</v>
      </c>
      <c r="AN16" s="26">
        <v>143400</v>
      </c>
      <c r="AO16" s="26">
        <v>8600</v>
      </c>
      <c r="AP16" s="26">
        <v>48874</v>
      </c>
      <c r="AQ16" s="26"/>
      <c r="AR16" s="26">
        <f>5000</f>
        <v>5000</v>
      </c>
      <c r="AS16" s="42"/>
      <c r="AT16" s="42"/>
      <c r="AU16" s="42"/>
      <c r="AV16" s="42"/>
      <c r="AW16" s="27">
        <v>0</v>
      </c>
      <c r="AX16" s="26">
        <v>15000</v>
      </c>
      <c r="AY16" s="70">
        <v>-15000</v>
      </c>
      <c r="AZ16" s="70"/>
      <c r="BA16" s="26">
        <v>9683</v>
      </c>
      <c r="BB16" s="26">
        <f>-3783</f>
        <v>-3783</v>
      </c>
      <c r="BC16" s="26"/>
      <c r="BD16" s="39"/>
      <c r="BE16" s="39"/>
      <c r="BF16" s="39"/>
      <c r="BG16" s="27">
        <v>7661</v>
      </c>
      <c r="BH16" s="27"/>
      <c r="BI16" s="101"/>
      <c r="BJ16" s="105"/>
      <c r="BK16" s="26"/>
      <c r="BL16" s="101"/>
      <c r="BM16" s="26"/>
      <c r="BN16" s="26"/>
      <c r="BO16" s="26"/>
      <c r="BP16" s="26">
        <v>34394</v>
      </c>
      <c r="BQ16" s="26"/>
      <c r="BR16" s="26">
        <f>-30</f>
        <v>-30</v>
      </c>
      <c r="BS16" s="26">
        <v>31291</v>
      </c>
      <c r="BT16" s="26"/>
      <c r="BU16" s="26"/>
      <c r="BV16" s="26">
        <v>39318</v>
      </c>
      <c r="BW16" s="26"/>
      <c r="BX16" s="26"/>
      <c r="BY16" s="26">
        <v>20104</v>
      </c>
      <c r="BZ16" s="26">
        <f>-3451</f>
        <v>-3451</v>
      </c>
      <c r="CA16" s="26"/>
      <c r="CB16" s="26">
        <v>14371</v>
      </c>
      <c r="CC16" s="26">
        <v>4316</v>
      </c>
      <c r="CD16" s="26">
        <v>130822</v>
      </c>
      <c r="CE16" s="26"/>
      <c r="CF16" s="26"/>
      <c r="CG16" s="26"/>
      <c r="CH16" s="26">
        <v>43459</v>
      </c>
      <c r="CI16" s="26"/>
    </row>
    <row r="17" spans="1:93" s="9" customFormat="1" x14ac:dyDescent="0.25">
      <c r="A17" s="11">
        <v>814</v>
      </c>
      <c r="B17" s="53" t="s">
        <v>12</v>
      </c>
      <c r="C17" s="8">
        <f t="shared" si="0"/>
        <v>32426043</v>
      </c>
      <c r="D17" s="27">
        <v>30620224</v>
      </c>
      <c r="E17" s="27">
        <v>0</v>
      </c>
      <c r="F17" s="26">
        <f>3960+1088+3520+14300+2055+3982+14251+3982-3982+715+9185-2570</f>
        <v>50486</v>
      </c>
      <c r="G17" s="26">
        <v>0</v>
      </c>
      <c r="H17" s="26"/>
      <c r="I17" s="26"/>
      <c r="J17" s="39">
        <v>1</v>
      </c>
      <c r="K17" s="39">
        <v>0</v>
      </c>
      <c r="L17" s="39">
        <v>97717</v>
      </c>
      <c r="M17" s="42">
        <v>979</v>
      </c>
      <c r="N17" s="26">
        <v>383440</v>
      </c>
      <c r="O17" s="26">
        <v>-299723</v>
      </c>
      <c r="P17" s="105">
        <v>-159852</v>
      </c>
      <c r="Q17" s="39"/>
      <c r="R17" s="26">
        <v>34487</v>
      </c>
      <c r="S17" s="26"/>
      <c r="T17" s="27"/>
      <c r="U17" s="27"/>
      <c r="V17" s="27"/>
      <c r="W17" s="27"/>
      <c r="X17" s="27"/>
      <c r="Y17" s="26"/>
      <c r="Z17" s="26"/>
      <c r="AA17" s="26"/>
      <c r="AB17" s="26">
        <v>0</v>
      </c>
      <c r="AC17" s="26">
        <v>0</v>
      </c>
      <c r="AD17" s="27">
        <v>30234</v>
      </c>
      <c r="AE17" s="39"/>
      <c r="AF17" s="39"/>
      <c r="AG17" s="39"/>
      <c r="AH17" s="26"/>
      <c r="AI17" s="26"/>
      <c r="AJ17" s="26"/>
      <c r="AK17" s="26"/>
      <c r="AL17" s="26"/>
      <c r="AM17" s="42"/>
      <c r="AN17" s="26">
        <v>249682</v>
      </c>
      <c r="AO17" s="26"/>
      <c r="AP17" s="26">
        <v>51074</v>
      </c>
      <c r="AQ17" s="26"/>
      <c r="AR17" s="26">
        <f>3000</f>
        <v>3000</v>
      </c>
      <c r="AS17" s="42">
        <v>26000</v>
      </c>
      <c r="AT17" s="42">
        <v>-500</v>
      </c>
      <c r="AU17" s="42">
        <v>85458</v>
      </c>
      <c r="AV17" s="42">
        <f>-19000-55125</f>
        <v>-74125</v>
      </c>
      <c r="AW17" s="27">
        <v>0</v>
      </c>
      <c r="AX17" s="26">
        <v>15000</v>
      </c>
      <c r="AY17" s="70"/>
      <c r="AZ17" s="70"/>
      <c r="BA17" s="26">
        <v>27420</v>
      </c>
      <c r="BB17" s="26"/>
      <c r="BC17" s="26"/>
      <c r="BD17" s="39"/>
      <c r="BE17" s="39"/>
      <c r="BF17" s="39"/>
      <c r="BG17" s="27">
        <v>18328</v>
      </c>
      <c r="BH17" s="27">
        <v>44287</v>
      </c>
      <c r="BI17" s="101">
        <v>25000</v>
      </c>
      <c r="BJ17" s="105">
        <v>35000</v>
      </c>
      <c r="BK17" s="26"/>
      <c r="BL17" s="101"/>
      <c r="BM17" s="26"/>
      <c r="BN17" s="26"/>
      <c r="BO17" s="26"/>
      <c r="BP17" s="26">
        <v>57158</v>
      </c>
      <c r="BQ17" s="26"/>
      <c r="BR17" s="26"/>
      <c r="BS17" s="26">
        <v>80777</v>
      </c>
      <c r="BT17" s="26"/>
      <c r="BU17" s="26"/>
      <c r="BV17" s="26">
        <v>103172</v>
      </c>
      <c r="BW17" s="26"/>
      <c r="BX17" s="26"/>
      <c r="BY17" s="26">
        <v>52754</v>
      </c>
      <c r="BZ17" s="26">
        <f>-13905</f>
        <v>-13905</v>
      </c>
      <c r="CA17" s="26"/>
      <c r="CB17" s="26">
        <v>19102</v>
      </c>
      <c r="CC17" s="26"/>
      <c r="CD17" s="26">
        <v>258624</v>
      </c>
      <c r="CE17" s="26">
        <v>381021</v>
      </c>
      <c r="CF17" s="26">
        <v>118979</v>
      </c>
      <c r="CG17" s="26"/>
      <c r="CH17" s="26">
        <v>104744</v>
      </c>
      <c r="CI17" s="26"/>
    </row>
    <row r="18" spans="1:93" s="9" customFormat="1" x14ac:dyDescent="0.25">
      <c r="A18" s="11">
        <v>816</v>
      </c>
      <c r="B18" s="53" t="s">
        <v>13</v>
      </c>
      <c r="C18" s="8">
        <f t="shared" si="0"/>
        <v>38935551</v>
      </c>
      <c r="D18" s="27">
        <v>36352777</v>
      </c>
      <c r="E18" s="27">
        <v>0</v>
      </c>
      <c r="F18" s="26">
        <f>12388+37125+10897+44889+8140-1431-2000+16324+15484+18830-14645</f>
        <v>146001</v>
      </c>
      <c r="G18" s="26">
        <v>774</v>
      </c>
      <c r="H18" s="26"/>
      <c r="I18" s="26"/>
      <c r="J18" s="39">
        <v>592136</v>
      </c>
      <c r="K18" s="39">
        <v>3502</v>
      </c>
      <c r="L18" s="39">
        <v>171067</v>
      </c>
      <c r="M18" s="42">
        <v>180022</v>
      </c>
      <c r="N18" s="26">
        <v>296835</v>
      </c>
      <c r="O18" s="26">
        <v>-367315</v>
      </c>
      <c r="P18" s="105">
        <v>-195901</v>
      </c>
      <c r="Q18" s="39"/>
      <c r="R18" s="26">
        <v>47476</v>
      </c>
      <c r="S18" s="26">
        <v>50686</v>
      </c>
      <c r="T18" s="27"/>
      <c r="U18" s="27"/>
      <c r="V18" s="27"/>
      <c r="W18" s="27"/>
      <c r="X18" s="27"/>
      <c r="Y18" s="26"/>
      <c r="Z18" s="26"/>
      <c r="AA18" s="26"/>
      <c r="AB18" s="26">
        <v>0</v>
      </c>
      <c r="AC18" s="26">
        <v>0</v>
      </c>
      <c r="AD18" s="27"/>
      <c r="AE18" s="39">
        <f>39582+105552</f>
        <v>145134</v>
      </c>
      <c r="AF18" s="39">
        <v>52776</v>
      </c>
      <c r="AG18" s="39"/>
      <c r="AH18" s="26"/>
      <c r="AI18" s="26"/>
      <c r="AJ18" s="26"/>
      <c r="AK18" s="26"/>
      <c r="AL18" s="26">
        <v>35000</v>
      </c>
      <c r="AM18" s="42"/>
      <c r="AN18" s="26">
        <v>591328</v>
      </c>
      <c r="AO18" s="26">
        <v>11100</v>
      </c>
      <c r="AP18" s="26">
        <v>51724</v>
      </c>
      <c r="AQ18" s="26"/>
      <c r="AR18" s="26">
        <f>8000+3000</f>
        <v>11000</v>
      </c>
      <c r="AS18" s="42"/>
      <c r="AT18" s="42"/>
      <c r="AU18" s="42"/>
      <c r="AV18" s="42"/>
      <c r="AW18" s="27">
        <v>0</v>
      </c>
      <c r="AX18" s="26">
        <v>15000</v>
      </c>
      <c r="AY18" s="70"/>
      <c r="AZ18" s="70"/>
      <c r="BA18" s="26">
        <v>31430</v>
      </c>
      <c r="BB18" s="26"/>
      <c r="BC18" s="26"/>
      <c r="BD18" s="39"/>
      <c r="BE18" s="39"/>
      <c r="BF18" s="39"/>
      <c r="BG18" s="27">
        <v>31104</v>
      </c>
      <c r="BH18" s="27"/>
      <c r="BI18" s="101"/>
      <c r="BJ18" s="105"/>
      <c r="BK18" s="26"/>
      <c r="BL18" s="101"/>
      <c r="BM18" s="26"/>
      <c r="BN18" s="26"/>
      <c r="BO18" s="26"/>
      <c r="BP18" s="26">
        <v>62771</v>
      </c>
      <c r="BQ18" s="26"/>
      <c r="BR18" s="26"/>
      <c r="BS18" s="26">
        <v>92981</v>
      </c>
      <c r="BT18" s="26"/>
      <c r="BU18" s="26"/>
      <c r="BV18" s="26">
        <v>126006</v>
      </c>
      <c r="BW18" s="26">
        <f>-60000-15000</f>
        <v>-75000</v>
      </c>
      <c r="BX18" s="26"/>
      <c r="BY18" s="26">
        <v>64429</v>
      </c>
      <c r="BZ18" s="26">
        <f>-15000</f>
        <v>-15000</v>
      </c>
      <c r="CA18" s="26"/>
      <c r="CB18" s="26">
        <v>19102</v>
      </c>
      <c r="CC18" s="26">
        <v>16991</v>
      </c>
      <c r="CD18" s="26">
        <v>273514</v>
      </c>
      <c r="CE18" s="26"/>
      <c r="CF18" s="26"/>
      <c r="CG18" s="26"/>
      <c r="CH18" s="26">
        <v>118601</v>
      </c>
      <c r="CI18" s="26">
        <v>-2500</v>
      </c>
    </row>
    <row r="19" spans="1:93" s="9" customFormat="1" x14ac:dyDescent="0.25">
      <c r="A19" s="11">
        <v>818</v>
      </c>
      <c r="B19" s="53" t="s">
        <v>14</v>
      </c>
      <c r="C19" s="8">
        <f t="shared" si="0"/>
        <v>106116797</v>
      </c>
      <c r="D19" s="27">
        <v>100640918</v>
      </c>
      <c r="E19" s="27">
        <v>122652</v>
      </c>
      <c r="F19" s="26">
        <f>42619+8475+21920+38507-1273+19608+14265+22175+41273+18150+142747+12551-1489-44997</f>
        <v>334531</v>
      </c>
      <c r="G19" s="26">
        <v>365</v>
      </c>
      <c r="H19" s="26">
        <f>-4000</f>
        <v>-4000</v>
      </c>
      <c r="I19" s="26"/>
      <c r="J19" s="39">
        <v>1068662</v>
      </c>
      <c r="K19" s="39">
        <v>24474</v>
      </c>
      <c r="L19" s="39">
        <v>0</v>
      </c>
      <c r="M19" s="42">
        <v>1563286</v>
      </c>
      <c r="N19" s="26">
        <v>894112</v>
      </c>
      <c r="O19" s="26">
        <v>-1024056</v>
      </c>
      <c r="P19" s="105">
        <v>-546163</v>
      </c>
      <c r="Q19" s="39"/>
      <c r="R19" s="26">
        <v>134802</v>
      </c>
      <c r="S19" s="26"/>
      <c r="T19" s="27"/>
      <c r="U19" s="27"/>
      <c r="V19" s="27"/>
      <c r="W19" s="27"/>
      <c r="X19" s="27"/>
      <c r="Y19" s="26"/>
      <c r="Z19" s="26"/>
      <c r="AA19" s="26"/>
      <c r="AB19" s="26">
        <v>0</v>
      </c>
      <c r="AC19" s="26">
        <v>0</v>
      </c>
      <c r="AD19" s="27"/>
      <c r="AE19" s="39"/>
      <c r="AF19" s="39">
        <v>39582</v>
      </c>
      <c r="AG19" s="39"/>
      <c r="AH19" s="26"/>
      <c r="AI19" s="26"/>
      <c r="AJ19" s="26"/>
      <c r="AK19" s="26"/>
      <c r="AL19" s="26">
        <v>23608</v>
      </c>
      <c r="AM19" s="42"/>
      <c r="AN19" s="26">
        <v>853821</v>
      </c>
      <c r="AO19" s="26"/>
      <c r="AP19" s="26">
        <v>43724</v>
      </c>
      <c r="AQ19" s="26"/>
      <c r="AR19" s="26"/>
      <c r="AS19" s="42"/>
      <c r="AT19" s="42"/>
      <c r="AU19" s="42"/>
      <c r="AV19" s="42"/>
      <c r="AW19" s="27">
        <v>0</v>
      </c>
      <c r="AX19" s="26">
        <v>15000</v>
      </c>
      <c r="AY19" s="70"/>
      <c r="AZ19" s="70"/>
      <c r="BA19" s="26">
        <v>95586</v>
      </c>
      <c r="BB19" s="26">
        <f>-33225</f>
        <v>-33225</v>
      </c>
      <c r="BC19" s="26">
        <f>50000</f>
        <v>50000</v>
      </c>
      <c r="BD19" s="39"/>
      <c r="BE19" s="39"/>
      <c r="BF19" s="39"/>
      <c r="BG19" s="27">
        <v>97893</v>
      </c>
      <c r="BH19" s="27"/>
      <c r="BI19" s="101"/>
      <c r="BJ19" s="105"/>
      <c r="BK19" s="26"/>
      <c r="BL19" s="101"/>
      <c r="BM19" s="26"/>
      <c r="BN19" s="26"/>
      <c r="BO19" s="26"/>
      <c r="BP19" s="26">
        <v>156163</v>
      </c>
      <c r="BQ19" s="26"/>
      <c r="BR19" s="26">
        <f>-50820</f>
        <v>-50820</v>
      </c>
      <c r="BS19" s="26">
        <v>296006</v>
      </c>
      <c r="BT19" s="26">
        <f>-171604</f>
        <v>-171604</v>
      </c>
      <c r="BU19" s="26"/>
      <c r="BV19" s="26">
        <v>357455</v>
      </c>
      <c r="BW19" s="26"/>
      <c r="BX19" s="26">
        <f>109771+245178</f>
        <v>354949</v>
      </c>
      <c r="BY19" s="26">
        <v>182774</v>
      </c>
      <c r="BZ19" s="26">
        <f>-21533</f>
        <v>-21533</v>
      </c>
      <c r="CA19" s="26"/>
      <c r="CB19" s="26"/>
      <c r="CC19" s="26"/>
      <c r="CD19" s="26">
        <v>277556</v>
      </c>
      <c r="CE19" s="26"/>
      <c r="CF19" s="26"/>
      <c r="CG19" s="26"/>
      <c r="CH19" s="26">
        <v>340279</v>
      </c>
      <c r="CI19" s="26"/>
    </row>
    <row r="20" spans="1:93" s="9" customFormat="1" x14ac:dyDescent="0.25">
      <c r="A20" s="11">
        <v>820</v>
      </c>
      <c r="B20" s="53" t="s">
        <v>15</v>
      </c>
      <c r="C20" s="8">
        <f t="shared" si="0"/>
        <v>22336248</v>
      </c>
      <c r="D20" s="27">
        <v>20383352</v>
      </c>
      <c r="E20" s="27">
        <v>0</v>
      </c>
      <c r="F20" s="26">
        <f>8290+9086+11803+17688+2198+7591+3410+1392+22331+858+3697+4500+286+1106+143+616+572-3374+660-865</f>
        <v>91988</v>
      </c>
      <c r="G20" s="26">
        <v>0</v>
      </c>
      <c r="H20" s="26"/>
      <c r="I20" s="26"/>
      <c r="J20" s="39">
        <v>0</v>
      </c>
      <c r="K20" s="39">
        <v>2148</v>
      </c>
      <c r="L20" s="39">
        <v>0</v>
      </c>
      <c r="M20" s="42">
        <v>185367</v>
      </c>
      <c r="N20" s="26">
        <v>137491</v>
      </c>
      <c r="O20" s="26">
        <v>-204786</v>
      </c>
      <c r="P20" s="105">
        <v>-109219</v>
      </c>
      <c r="Q20" s="39"/>
      <c r="R20" s="26">
        <v>26597</v>
      </c>
      <c r="S20" s="26">
        <v>28396</v>
      </c>
      <c r="T20" s="27"/>
      <c r="U20" s="27"/>
      <c r="V20" s="27"/>
      <c r="W20" s="27"/>
      <c r="X20" s="27"/>
      <c r="Y20" s="26"/>
      <c r="Z20" s="26"/>
      <c r="AA20" s="26"/>
      <c r="AB20" s="26">
        <v>0</v>
      </c>
      <c r="AC20" s="26">
        <v>0</v>
      </c>
      <c r="AD20" s="27"/>
      <c r="AE20" s="39">
        <v>237492</v>
      </c>
      <c r="AF20" s="39"/>
      <c r="AG20" s="39"/>
      <c r="AH20" s="26"/>
      <c r="AI20" s="26"/>
      <c r="AJ20" s="26"/>
      <c r="AK20" s="26"/>
      <c r="AL20" s="26"/>
      <c r="AM20" s="42"/>
      <c r="AN20" s="26">
        <v>99609</v>
      </c>
      <c r="AO20" s="26"/>
      <c r="AP20" s="26">
        <v>49974</v>
      </c>
      <c r="AQ20" s="26">
        <f>-20000-7000-1457</f>
        <v>-28457</v>
      </c>
      <c r="AR20" s="26"/>
      <c r="AS20" s="42"/>
      <c r="AT20" s="42"/>
      <c r="AU20" s="42"/>
      <c r="AV20" s="42"/>
      <c r="AW20" s="27">
        <v>0</v>
      </c>
      <c r="AX20" s="26">
        <v>15000</v>
      </c>
      <c r="AY20" s="70">
        <f>-5000-2098-2564</f>
        <v>-9662</v>
      </c>
      <c r="AZ20" s="70"/>
      <c r="BA20" s="26">
        <v>17918</v>
      </c>
      <c r="BB20" s="26">
        <f>-17918</f>
        <v>-17918</v>
      </c>
      <c r="BC20" s="26"/>
      <c r="BD20" s="39"/>
      <c r="BE20" s="39"/>
      <c r="BF20" s="39"/>
      <c r="BG20" s="27">
        <v>2327</v>
      </c>
      <c r="BH20" s="27"/>
      <c r="BI20" s="101"/>
      <c r="BJ20" s="105"/>
      <c r="BK20" s="26"/>
      <c r="BL20" s="101"/>
      <c r="BM20" s="26"/>
      <c r="BN20" s="26"/>
      <c r="BO20" s="26"/>
      <c r="BP20" s="26">
        <v>44287</v>
      </c>
      <c r="BQ20" s="26"/>
      <c r="BR20" s="26">
        <f>-23000-25</f>
        <v>-23025</v>
      </c>
      <c r="BS20" s="26">
        <v>39599</v>
      </c>
      <c r="BT20" s="26">
        <f>-20000-15000</f>
        <v>-35000</v>
      </c>
      <c r="BU20" s="26"/>
      <c r="BV20" s="26">
        <v>0</v>
      </c>
      <c r="BW20" s="26"/>
      <c r="BX20" s="26"/>
      <c r="BY20" s="26">
        <v>35133</v>
      </c>
      <c r="BZ20" s="26">
        <f>-25133-250</f>
        <v>-25383</v>
      </c>
      <c r="CA20" s="26"/>
      <c r="CB20" s="26">
        <v>19102</v>
      </c>
      <c r="CC20" s="26"/>
      <c r="CD20" s="26">
        <v>373918</v>
      </c>
      <c r="CE20" s="26"/>
      <c r="CF20" s="26"/>
      <c r="CG20" s="26">
        <v>1000000</v>
      </c>
      <c r="CH20" s="26">
        <v>0</v>
      </c>
      <c r="CI20" s="26"/>
    </row>
    <row r="21" spans="1:93" s="9" customFormat="1" x14ac:dyDescent="0.25">
      <c r="A21" s="11">
        <v>858</v>
      </c>
      <c r="B21" s="53" t="s">
        <v>16</v>
      </c>
      <c r="C21" s="8">
        <f t="shared" si="0"/>
        <v>32225523</v>
      </c>
      <c r="D21" s="27">
        <v>28185885</v>
      </c>
      <c r="E21" s="27">
        <v>0</v>
      </c>
      <c r="F21" s="26">
        <f>10380-424</f>
        <v>9956</v>
      </c>
      <c r="G21" s="26">
        <v>0</v>
      </c>
      <c r="H21" s="26"/>
      <c r="I21" s="26"/>
      <c r="J21" s="39">
        <v>596577</v>
      </c>
      <c r="K21" s="39">
        <v>1219</v>
      </c>
      <c r="L21" s="39">
        <v>90231</v>
      </c>
      <c r="M21" s="42">
        <v>50841</v>
      </c>
      <c r="N21" s="26">
        <v>219887</v>
      </c>
      <c r="O21" s="26">
        <v>-285460</v>
      </c>
      <c r="P21" s="105">
        <v>-152245</v>
      </c>
      <c r="Q21" s="39"/>
      <c r="R21" s="26">
        <v>29434</v>
      </c>
      <c r="S21" s="26"/>
      <c r="T21" s="27"/>
      <c r="U21" s="27"/>
      <c r="V21" s="27"/>
      <c r="W21" s="27"/>
      <c r="X21" s="27"/>
      <c r="Y21" s="26"/>
      <c r="Z21" s="26"/>
      <c r="AA21" s="26"/>
      <c r="AB21" s="26">
        <v>0</v>
      </c>
      <c r="AC21" s="26">
        <v>0</v>
      </c>
      <c r="AD21" s="27"/>
      <c r="AE21" s="39"/>
      <c r="AF21" s="39"/>
      <c r="AG21" s="39"/>
      <c r="AH21" s="26"/>
      <c r="AI21" s="26"/>
      <c r="AJ21" s="26"/>
      <c r="AK21" s="26"/>
      <c r="AL21" s="26"/>
      <c r="AM21" s="42">
        <v>2244691</v>
      </c>
      <c r="AN21" s="26">
        <v>252644</v>
      </c>
      <c r="AO21" s="26"/>
      <c r="AP21" s="26">
        <v>47724</v>
      </c>
      <c r="AQ21" s="26">
        <f>-56</f>
        <v>-56</v>
      </c>
      <c r="AR21" s="26">
        <f>15000+10000+10000+3000</f>
        <v>38000</v>
      </c>
      <c r="AS21" s="42"/>
      <c r="AT21" s="42"/>
      <c r="AU21" s="42"/>
      <c r="AV21" s="42"/>
      <c r="AW21" s="27">
        <v>0</v>
      </c>
      <c r="AX21" s="26">
        <v>15000</v>
      </c>
      <c r="AY21" s="70"/>
      <c r="AZ21" s="70"/>
      <c r="BA21" s="26">
        <v>26087</v>
      </c>
      <c r="BB21" s="26">
        <f>-1459</f>
        <v>-1459</v>
      </c>
      <c r="BC21" s="26">
        <f>75000</f>
        <v>75000</v>
      </c>
      <c r="BD21" s="39"/>
      <c r="BE21" s="39"/>
      <c r="BF21" s="39"/>
      <c r="BG21" s="27">
        <v>20097</v>
      </c>
      <c r="BH21" s="27"/>
      <c r="BI21" s="101"/>
      <c r="BJ21" s="105"/>
      <c r="BK21" s="26">
        <v>20000</v>
      </c>
      <c r="BL21" s="101">
        <v>85000</v>
      </c>
      <c r="BM21" s="26"/>
      <c r="BN21" s="26"/>
      <c r="BO21" s="26"/>
      <c r="BP21" s="26">
        <v>56147</v>
      </c>
      <c r="BQ21" s="26"/>
      <c r="BR21" s="26"/>
      <c r="BS21" s="26">
        <v>73957</v>
      </c>
      <c r="BT21" s="26">
        <f>-24</f>
        <v>-24</v>
      </c>
      <c r="BU21" s="26"/>
      <c r="BV21" s="26">
        <v>98463</v>
      </c>
      <c r="BW21" s="26"/>
      <c r="BX21" s="26"/>
      <c r="BY21" s="26">
        <v>50346</v>
      </c>
      <c r="BZ21" s="26"/>
      <c r="CA21" s="26"/>
      <c r="CB21" s="26">
        <v>19102</v>
      </c>
      <c r="CC21" s="26">
        <v>7290</v>
      </c>
      <c r="CD21" s="26">
        <v>251051</v>
      </c>
      <c r="CE21" s="26"/>
      <c r="CF21" s="26"/>
      <c r="CG21" s="26"/>
      <c r="CH21" s="26">
        <v>100138</v>
      </c>
      <c r="CI21" s="26"/>
    </row>
    <row r="22" spans="1:93" s="9" customFormat="1" x14ac:dyDescent="0.25">
      <c r="A22" s="11">
        <v>822</v>
      </c>
      <c r="B22" s="53" t="s">
        <v>17</v>
      </c>
      <c r="C22" s="8">
        <f t="shared" si="0"/>
        <v>20111793</v>
      </c>
      <c r="D22" s="27">
        <v>17920515</v>
      </c>
      <c r="E22" s="27">
        <v>0</v>
      </c>
      <c r="F22" s="26">
        <f>2090+1085</f>
        <v>3175</v>
      </c>
      <c r="G22" s="26">
        <v>580</v>
      </c>
      <c r="H22" s="26"/>
      <c r="I22" s="26"/>
      <c r="J22" s="39">
        <v>536422</v>
      </c>
      <c r="K22" s="39">
        <v>36203</v>
      </c>
      <c r="L22" s="39">
        <v>34574</v>
      </c>
      <c r="M22" s="42">
        <v>9214</v>
      </c>
      <c r="N22" s="26">
        <v>158230</v>
      </c>
      <c r="O22" s="26">
        <v>-180913</v>
      </c>
      <c r="P22" s="105">
        <v>-96487</v>
      </c>
      <c r="Q22" s="39"/>
      <c r="R22" s="26">
        <v>12767</v>
      </c>
      <c r="S22" s="26">
        <v>13630</v>
      </c>
      <c r="T22" s="27"/>
      <c r="U22" s="27"/>
      <c r="V22" s="27"/>
      <c r="W22" s="27"/>
      <c r="X22" s="27"/>
      <c r="Y22" s="26"/>
      <c r="Z22" s="26"/>
      <c r="AA22" s="26"/>
      <c r="AB22" s="26">
        <v>0</v>
      </c>
      <c r="AC22" s="26">
        <v>0</v>
      </c>
      <c r="AD22" s="27">
        <v>20825</v>
      </c>
      <c r="AE22" s="39"/>
      <c r="AF22" s="39"/>
      <c r="AG22" s="39"/>
      <c r="AH22" s="26"/>
      <c r="AI22" s="26"/>
      <c r="AJ22" s="26">
        <v>10000</v>
      </c>
      <c r="AK22" s="26"/>
      <c r="AL22" s="26"/>
      <c r="AM22" s="42"/>
      <c r="AN22" s="26">
        <v>158842</v>
      </c>
      <c r="AO22" s="26"/>
      <c r="AP22" s="26">
        <v>50674</v>
      </c>
      <c r="AQ22" s="26"/>
      <c r="AR22" s="26">
        <f>51724+18000+2300+5000</f>
        <v>77024</v>
      </c>
      <c r="AS22" s="42"/>
      <c r="AT22" s="42"/>
      <c r="AU22" s="42"/>
      <c r="AV22" s="42"/>
      <c r="AW22" s="27">
        <v>0</v>
      </c>
      <c r="AX22" s="26">
        <v>15000</v>
      </c>
      <c r="AY22" s="70">
        <v>-1021</v>
      </c>
      <c r="AZ22" s="70">
        <v>1021</v>
      </c>
      <c r="BA22" s="26">
        <v>14542</v>
      </c>
      <c r="BB22" s="26"/>
      <c r="BC22" s="26"/>
      <c r="BD22" s="39"/>
      <c r="BE22" s="39"/>
      <c r="BF22" s="39"/>
      <c r="BG22" s="27">
        <v>8146</v>
      </c>
      <c r="BH22" s="27"/>
      <c r="BI22" s="101"/>
      <c r="BJ22" s="105">
        <v>35000</v>
      </c>
      <c r="BK22" s="26"/>
      <c r="BL22" s="101"/>
      <c r="BM22" s="26">
        <v>455327</v>
      </c>
      <c r="BN22" s="26">
        <f>135270+289865</f>
        <v>425135</v>
      </c>
      <c r="BO22" s="26"/>
      <c r="BP22" s="26">
        <v>40071</v>
      </c>
      <c r="BQ22" s="26"/>
      <c r="BR22" s="26">
        <f>-20923</f>
        <v>-20923</v>
      </c>
      <c r="BS22" s="26">
        <v>43633</v>
      </c>
      <c r="BT22" s="26"/>
      <c r="BU22" s="26"/>
      <c r="BV22" s="26">
        <v>57904</v>
      </c>
      <c r="BW22" s="26"/>
      <c r="BX22" s="26"/>
      <c r="BY22" s="26">
        <v>29608</v>
      </c>
      <c r="BZ22" s="26"/>
      <c r="CA22" s="26"/>
      <c r="CB22" s="26">
        <v>19102</v>
      </c>
      <c r="CC22" s="26">
        <v>1421</v>
      </c>
      <c r="CD22" s="26">
        <v>162305</v>
      </c>
      <c r="CE22" s="26"/>
      <c r="CF22" s="26"/>
      <c r="CG22" s="26"/>
      <c r="CH22" s="26">
        <v>60247</v>
      </c>
      <c r="CI22" s="26"/>
    </row>
    <row r="23" spans="1:93" s="9" customFormat="1" x14ac:dyDescent="0.25">
      <c r="A23" s="11">
        <v>824</v>
      </c>
      <c r="B23" s="53" t="s">
        <v>18</v>
      </c>
      <c r="C23" s="8">
        <f t="shared" si="0"/>
        <v>21350594</v>
      </c>
      <c r="D23" s="27">
        <v>20544714</v>
      </c>
      <c r="E23" s="27">
        <v>0</v>
      </c>
      <c r="F23" s="26">
        <v>0</v>
      </c>
      <c r="G23" s="26">
        <v>0</v>
      </c>
      <c r="H23" s="26"/>
      <c r="I23" s="26"/>
      <c r="J23" s="39">
        <v>0</v>
      </c>
      <c r="K23" s="39">
        <v>1493</v>
      </c>
      <c r="L23" s="39">
        <v>10735</v>
      </c>
      <c r="M23" s="42">
        <v>252852</v>
      </c>
      <c r="N23" s="26">
        <v>165094</v>
      </c>
      <c r="O23" s="26">
        <v>-206915</v>
      </c>
      <c r="P23" s="105">
        <v>-110355</v>
      </c>
      <c r="Q23" s="39"/>
      <c r="R23" s="26">
        <v>25001</v>
      </c>
      <c r="S23" s="26">
        <v>26692</v>
      </c>
      <c r="T23" s="27"/>
      <c r="U23" s="27"/>
      <c r="V23" s="27"/>
      <c r="W23" s="27"/>
      <c r="X23" s="27"/>
      <c r="Y23" s="26"/>
      <c r="Z23" s="26"/>
      <c r="AA23" s="26"/>
      <c r="AB23" s="26">
        <v>0</v>
      </c>
      <c r="AC23" s="26">
        <v>0</v>
      </c>
      <c r="AD23" s="27"/>
      <c r="AE23" s="39"/>
      <c r="AF23" s="39"/>
      <c r="AG23" s="39"/>
      <c r="AH23" s="26"/>
      <c r="AI23" s="26"/>
      <c r="AJ23" s="26"/>
      <c r="AK23" s="26"/>
      <c r="AL23" s="26"/>
      <c r="AM23" s="42"/>
      <c r="AN23" s="26">
        <v>102938</v>
      </c>
      <c r="AO23" s="26">
        <v>8807</v>
      </c>
      <c r="AP23" s="26">
        <v>47227</v>
      </c>
      <c r="AQ23" s="26">
        <f>-4267</f>
        <v>-4267</v>
      </c>
      <c r="AR23" s="26"/>
      <c r="AS23" s="42"/>
      <c r="AT23" s="42"/>
      <c r="AU23" s="42"/>
      <c r="AV23" s="42"/>
      <c r="AW23" s="27">
        <v>0</v>
      </c>
      <c r="AX23" s="26">
        <v>15000</v>
      </c>
      <c r="AY23" s="70">
        <f>-59</f>
        <v>-59</v>
      </c>
      <c r="AZ23" s="70"/>
      <c r="BA23" s="26">
        <v>17936</v>
      </c>
      <c r="BB23" s="26">
        <f>-6000-454</f>
        <v>-6454</v>
      </c>
      <c r="BC23" s="26"/>
      <c r="BD23" s="39"/>
      <c r="BE23" s="39"/>
      <c r="BF23" s="39"/>
      <c r="BG23" s="27">
        <v>8824</v>
      </c>
      <c r="BH23" s="27"/>
      <c r="BI23" s="101"/>
      <c r="BJ23" s="105"/>
      <c r="BK23" s="26"/>
      <c r="BL23" s="101"/>
      <c r="BM23" s="26"/>
      <c r="BN23" s="26"/>
      <c r="BO23" s="26"/>
      <c r="BP23" s="26">
        <v>41246</v>
      </c>
      <c r="BQ23" s="26"/>
      <c r="BR23" s="26">
        <v>-2058</v>
      </c>
      <c r="BS23" s="26">
        <v>53932</v>
      </c>
      <c r="BT23" s="26">
        <f>-21825-3139-333</f>
        <v>-25297</v>
      </c>
      <c r="BU23" s="26"/>
      <c r="BV23" s="26">
        <v>66420</v>
      </c>
      <c r="BW23" s="26"/>
      <c r="BX23" s="26"/>
      <c r="BY23" s="26">
        <v>33962</v>
      </c>
      <c r="BZ23" s="26">
        <v>-28282</v>
      </c>
      <c r="CA23" s="26"/>
      <c r="CB23" s="26">
        <v>19102</v>
      </c>
      <c r="CC23" s="26"/>
      <c r="CD23" s="26">
        <v>220973</v>
      </c>
      <c r="CE23" s="26"/>
      <c r="CF23" s="26"/>
      <c r="CG23" s="26"/>
      <c r="CH23" s="26">
        <v>71974</v>
      </c>
      <c r="CI23" s="26">
        <f>-641</f>
        <v>-641</v>
      </c>
    </row>
    <row r="24" spans="1:93" s="9" customFormat="1" x14ac:dyDescent="0.25">
      <c r="A24" s="11">
        <v>826</v>
      </c>
      <c r="B24" s="53" t="s">
        <v>284</v>
      </c>
      <c r="C24" s="8">
        <f t="shared" si="0"/>
        <v>25436250</v>
      </c>
      <c r="D24" s="27">
        <v>24228670</v>
      </c>
      <c r="E24" s="27">
        <v>0</v>
      </c>
      <c r="F24" s="26">
        <f>4319+5949+15334+28148+13336+9926+3102-26127+27887+1617+14938+3108-7634</f>
        <v>93903</v>
      </c>
      <c r="G24" s="26">
        <v>0</v>
      </c>
      <c r="H24" s="26"/>
      <c r="I24" s="26"/>
      <c r="J24" s="39">
        <v>0</v>
      </c>
      <c r="K24" s="39">
        <v>0</v>
      </c>
      <c r="L24" s="39">
        <v>16623</v>
      </c>
      <c r="M24" s="42">
        <v>1</v>
      </c>
      <c r="N24" s="26">
        <v>217629</v>
      </c>
      <c r="O24" s="26">
        <v>-243640</v>
      </c>
      <c r="P24" s="105">
        <v>-129942</v>
      </c>
      <c r="Q24" s="39"/>
      <c r="R24" s="26">
        <v>40250</v>
      </c>
      <c r="S24" s="26"/>
      <c r="T24" s="27"/>
      <c r="U24" s="27"/>
      <c r="V24" s="27"/>
      <c r="W24" s="27"/>
      <c r="X24" s="27"/>
      <c r="Y24" s="26"/>
      <c r="Z24" s="26"/>
      <c r="AA24" s="26"/>
      <c r="AB24" s="26">
        <v>0</v>
      </c>
      <c r="AC24" s="26">
        <v>0</v>
      </c>
      <c r="AD24" s="27">
        <v>22603</v>
      </c>
      <c r="AE24" s="39"/>
      <c r="AF24" s="39">
        <f>39582+52776</f>
        <v>92358</v>
      </c>
      <c r="AG24" s="39"/>
      <c r="AH24" s="26"/>
      <c r="AI24" s="26"/>
      <c r="AJ24" s="26"/>
      <c r="AK24" s="26"/>
      <c r="AL24" s="26">
        <v>23608</v>
      </c>
      <c r="AM24" s="42"/>
      <c r="AN24" s="26">
        <v>389061</v>
      </c>
      <c r="AO24" s="26"/>
      <c r="AP24" s="26">
        <v>47761</v>
      </c>
      <c r="AQ24" s="26"/>
      <c r="AR24" s="26">
        <f>20000+10000+3000</f>
        <v>33000</v>
      </c>
      <c r="AS24" s="42"/>
      <c r="AT24" s="42"/>
      <c r="AU24" s="42"/>
      <c r="AV24" s="42"/>
      <c r="AW24" s="27">
        <v>0</v>
      </c>
      <c r="AX24" s="26">
        <v>15000</v>
      </c>
      <c r="AY24" s="70">
        <v>-10102</v>
      </c>
      <c r="AZ24" s="70"/>
      <c r="BA24" s="26">
        <v>20478</v>
      </c>
      <c r="BB24" s="26"/>
      <c r="BC24" s="26"/>
      <c r="BD24" s="39"/>
      <c r="BE24" s="39"/>
      <c r="BF24" s="39"/>
      <c r="BG24" s="27">
        <v>22279</v>
      </c>
      <c r="BH24" s="27">
        <v>38514</v>
      </c>
      <c r="BI24" s="101">
        <v>25000</v>
      </c>
      <c r="BJ24" s="105">
        <v>35000</v>
      </c>
      <c r="BK24" s="26"/>
      <c r="BL24" s="101"/>
      <c r="BM24" s="26"/>
      <c r="BN24" s="26"/>
      <c r="BO24" s="26"/>
      <c r="BP24" s="26">
        <v>46977</v>
      </c>
      <c r="BQ24" s="26"/>
      <c r="BR24" s="26"/>
      <c r="BS24" s="26">
        <v>63630</v>
      </c>
      <c r="BT24" s="26"/>
      <c r="BU24" s="26"/>
      <c r="BV24" s="26">
        <v>79876</v>
      </c>
      <c r="BW24" s="26"/>
      <c r="BX24" s="26"/>
      <c r="BY24" s="26">
        <v>40842</v>
      </c>
      <c r="BZ24" s="26">
        <f>-30842</f>
        <v>-30842</v>
      </c>
      <c r="CA24" s="26"/>
      <c r="CB24" s="26">
        <v>19102</v>
      </c>
      <c r="CC24" s="26">
        <v>3632</v>
      </c>
      <c r="CD24" s="26">
        <v>154221</v>
      </c>
      <c r="CE24" s="26"/>
      <c r="CF24" s="26"/>
      <c r="CG24" s="26"/>
      <c r="CH24" s="26">
        <v>80758</v>
      </c>
      <c r="CI24" s="26"/>
    </row>
    <row r="25" spans="1:93" s="9" customFormat="1" x14ac:dyDescent="0.25">
      <c r="A25" s="11">
        <v>828</v>
      </c>
      <c r="B25" s="53" t="s">
        <v>19</v>
      </c>
      <c r="C25" s="8">
        <f t="shared" si="0"/>
        <v>33735191</v>
      </c>
      <c r="D25" s="27">
        <v>32200094</v>
      </c>
      <c r="E25" s="27">
        <v>123403</v>
      </c>
      <c r="F25" s="26">
        <f>34980+7040+4400+11638+5852+58014+80692+3905+21120+98390+14740+12705+6130-12000</f>
        <v>347606</v>
      </c>
      <c r="G25" s="26">
        <v>887</v>
      </c>
      <c r="H25" s="26"/>
      <c r="I25" s="26"/>
      <c r="J25" s="39">
        <v>90966</v>
      </c>
      <c r="K25" s="39">
        <v>0</v>
      </c>
      <c r="L25" s="39">
        <v>9</v>
      </c>
      <c r="M25" s="42">
        <v>13280</v>
      </c>
      <c r="N25" s="26">
        <v>334870</v>
      </c>
      <c r="O25" s="26">
        <v>-326229</v>
      </c>
      <c r="P25" s="105">
        <v>-173989</v>
      </c>
      <c r="Q25" s="39"/>
      <c r="R25" s="26">
        <v>31562</v>
      </c>
      <c r="S25" s="26"/>
      <c r="T25" s="27"/>
      <c r="U25" s="27"/>
      <c r="V25" s="27"/>
      <c r="W25" s="27"/>
      <c r="X25" s="27"/>
      <c r="Y25" s="26"/>
      <c r="Z25" s="26"/>
      <c r="AA25" s="26"/>
      <c r="AB25" s="26">
        <v>0</v>
      </c>
      <c r="AC25" s="26">
        <v>0</v>
      </c>
      <c r="AD25" s="27"/>
      <c r="AE25" s="39">
        <v>39582</v>
      </c>
      <c r="AF25" s="39"/>
      <c r="AG25" s="39"/>
      <c r="AH25" s="26"/>
      <c r="AI25" s="26"/>
      <c r="AJ25" s="26"/>
      <c r="AK25" s="26"/>
      <c r="AL25" s="26"/>
      <c r="AM25" s="42"/>
      <c r="AN25" s="26">
        <v>309626</v>
      </c>
      <c r="AO25" s="26">
        <v>266</v>
      </c>
      <c r="AP25" s="26">
        <v>51724</v>
      </c>
      <c r="AQ25" s="26">
        <f>-5000</f>
        <v>-5000</v>
      </c>
      <c r="AR25" s="26"/>
      <c r="AS25" s="42"/>
      <c r="AT25" s="42"/>
      <c r="AU25" s="42"/>
      <c r="AV25" s="42"/>
      <c r="AW25" s="27">
        <v>0</v>
      </c>
      <c r="AX25" s="26">
        <v>15000</v>
      </c>
      <c r="AY25" s="70">
        <v>-7000</v>
      </c>
      <c r="AZ25" s="70"/>
      <c r="BA25" s="26">
        <v>29269</v>
      </c>
      <c r="BB25" s="26"/>
      <c r="BC25" s="26"/>
      <c r="BD25" s="39"/>
      <c r="BE25" s="39"/>
      <c r="BF25" s="39"/>
      <c r="BG25" s="27">
        <v>39443</v>
      </c>
      <c r="BH25" s="27"/>
      <c r="BI25" s="101"/>
      <c r="BJ25" s="105"/>
      <c r="BK25" s="26"/>
      <c r="BL25" s="101"/>
      <c r="BM25" s="26"/>
      <c r="BN25" s="26"/>
      <c r="BO25" s="26"/>
      <c r="BP25" s="26">
        <v>59779</v>
      </c>
      <c r="BQ25" s="26"/>
      <c r="BR25" s="26">
        <f>-45000</f>
        <v>-45000</v>
      </c>
      <c r="BS25" s="26">
        <v>86476</v>
      </c>
      <c r="BT25" s="26"/>
      <c r="BU25" s="26"/>
      <c r="BV25" s="26">
        <v>111351</v>
      </c>
      <c r="BW25" s="26"/>
      <c r="BX25" s="26"/>
      <c r="BY25" s="26">
        <v>56936</v>
      </c>
      <c r="BZ25" s="26">
        <f>-22000</f>
        <v>-22000</v>
      </c>
      <c r="CA25" s="26"/>
      <c r="CB25" s="26">
        <v>14371</v>
      </c>
      <c r="CC25" s="26">
        <v>7893</v>
      </c>
      <c r="CD25" s="26">
        <v>238884</v>
      </c>
      <c r="CE25" s="26"/>
      <c r="CF25" s="26"/>
      <c r="CG25" s="26"/>
      <c r="CH25" s="26">
        <v>111132</v>
      </c>
      <c r="CI25" s="26"/>
    </row>
    <row r="26" spans="1:93" s="9" customFormat="1" x14ac:dyDescent="0.25">
      <c r="A26" s="11">
        <v>830</v>
      </c>
      <c r="B26" s="53" t="s">
        <v>20</v>
      </c>
      <c r="C26" s="8">
        <f t="shared" si="0"/>
        <v>16894642</v>
      </c>
      <c r="D26" s="27">
        <v>14829711</v>
      </c>
      <c r="E26" s="27">
        <v>0</v>
      </c>
      <c r="F26" s="26">
        <f>982+53+1367+1012+40+509+968+33+12111+2008+9874+1632+14501+1370+891-364</f>
        <v>46987</v>
      </c>
      <c r="G26" s="26">
        <v>109</v>
      </c>
      <c r="H26" s="26"/>
      <c r="I26" s="26"/>
      <c r="J26" s="39">
        <v>288373</v>
      </c>
      <c r="K26" s="39">
        <v>46998</v>
      </c>
      <c r="L26" s="39">
        <v>62751</v>
      </c>
      <c r="M26" s="42">
        <v>100410</v>
      </c>
      <c r="N26" s="26">
        <v>192612</v>
      </c>
      <c r="O26" s="26">
        <v>-147693</v>
      </c>
      <c r="P26" s="105">
        <v>-78769</v>
      </c>
      <c r="Q26" s="39"/>
      <c r="R26" s="26">
        <v>33689</v>
      </c>
      <c r="S26" s="26">
        <v>35968</v>
      </c>
      <c r="T26" s="27"/>
      <c r="U26" s="27"/>
      <c r="V26" s="27"/>
      <c r="W26" s="27"/>
      <c r="X26" s="27"/>
      <c r="Y26" s="26"/>
      <c r="Z26" s="26"/>
      <c r="AA26" s="26"/>
      <c r="AB26" s="26">
        <v>0</v>
      </c>
      <c r="AC26" s="26">
        <v>0</v>
      </c>
      <c r="AD26" s="27"/>
      <c r="AE26" s="39">
        <v>158328</v>
      </c>
      <c r="AF26" s="39"/>
      <c r="AG26" s="39"/>
      <c r="AH26" s="26"/>
      <c r="AI26" s="26"/>
      <c r="AJ26" s="26"/>
      <c r="AK26" s="26"/>
      <c r="AL26" s="26"/>
      <c r="AM26" s="42"/>
      <c r="AN26" s="26">
        <v>125799</v>
      </c>
      <c r="AO26" s="26"/>
      <c r="AP26" s="26">
        <v>51724</v>
      </c>
      <c r="AQ26" s="26">
        <v>-20000</v>
      </c>
      <c r="AR26" s="26"/>
      <c r="AS26" s="42"/>
      <c r="AT26" s="42"/>
      <c r="AU26" s="42"/>
      <c r="AV26" s="42"/>
      <c r="AW26" s="27">
        <v>0</v>
      </c>
      <c r="AX26" s="26">
        <v>15000</v>
      </c>
      <c r="AY26" s="70">
        <f>-12600-738</f>
        <v>-13338</v>
      </c>
      <c r="AZ26" s="70"/>
      <c r="BA26" s="26">
        <v>11928</v>
      </c>
      <c r="BB26" s="26"/>
      <c r="BC26" s="26"/>
      <c r="BD26" s="39"/>
      <c r="BE26" s="39"/>
      <c r="BF26" s="39"/>
      <c r="BG26" s="27">
        <v>7491</v>
      </c>
      <c r="BH26" s="27"/>
      <c r="BI26" s="101"/>
      <c r="BJ26" s="105"/>
      <c r="BK26" s="26"/>
      <c r="BL26" s="101"/>
      <c r="BM26" s="26">
        <v>456641</v>
      </c>
      <c r="BN26" s="26">
        <f>457572</f>
        <v>457572</v>
      </c>
      <c r="BO26" s="26">
        <f>-100906-9778</f>
        <v>-110684</v>
      </c>
      <c r="BP26" s="26">
        <v>37465</v>
      </c>
      <c r="BQ26" s="26"/>
      <c r="BR26" s="26"/>
      <c r="BS26" s="26">
        <v>37968</v>
      </c>
      <c r="BT26" s="26">
        <f>-8000</f>
        <v>-8000</v>
      </c>
      <c r="BU26" s="26"/>
      <c r="BV26" s="26">
        <v>45310</v>
      </c>
      <c r="BW26" s="26"/>
      <c r="BX26" s="26"/>
      <c r="BY26" s="26">
        <v>23168</v>
      </c>
      <c r="BZ26" s="26"/>
      <c r="CA26" s="26"/>
      <c r="CB26" s="26">
        <v>19102</v>
      </c>
      <c r="CC26" s="26"/>
      <c r="CD26" s="26">
        <v>136906</v>
      </c>
      <c r="CE26" s="26"/>
      <c r="CF26" s="26"/>
      <c r="CG26" s="26"/>
      <c r="CH26" s="26">
        <v>51215</v>
      </c>
      <c r="CI26" s="26">
        <f>-99</f>
        <v>-99</v>
      </c>
    </row>
    <row r="27" spans="1:93" s="9" customFormat="1" x14ac:dyDescent="0.25">
      <c r="A27" s="11">
        <v>832</v>
      </c>
      <c r="B27" s="53" t="s">
        <v>21</v>
      </c>
      <c r="C27" s="8">
        <f t="shared" si="0"/>
        <v>93532820</v>
      </c>
      <c r="D27" s="27">
        <v>86337456</v>
      </c>
      <c r="E27" s="27">
        <v>0</v>
      </c>
      <c r="F27" s="26">
        <f>616+1961+792+1386+4005+2629-1864+4255+2869+1896+8746+3286-4345</f>
        <v>26232</v>
      </c>
      <c r="G27" s="26">
        <v>0</v>
      </c>
      <c r="H27" s="26"/>
      <c r="I27" s="26">
        <f>1000</f>
        <v>1000</v>
      </c>
      <c r="J27" s="39">
        <v>3251589</v>
      </c>
      <c r="K27" s="39">
        <v>0</v>
      </c>
      <c r="L27" s="39">
        <v>118326</v>
      </c>
      <c r="M27" s="42">
        <v>426454</v>
      </c>
      <c r="N27" s="26">
        <v>675380</v>
      </c>
      <c r="O27" s="26">
        <v>-850693</v>
      </c>
      <c r="P27" s="105">
        <v>-453703</v>
      </c>
      <c r="Q27" s="39"/>
      <c r="R27" s="26">
        <v>139590</v>
      </c>
      <c r="S27" s="26"/>
      <c r="T27" s="27"/>
      <c r="U27" s="27"/>
      <c r="V27" s="27"/>
      <c r="W27" s="27"/>
      <c r="X27" s="27"/>
      <c r="Y27" s="26">
        <v>125000</v>
      </c>
      <c r="Z27" s="26"/>
      <c r="AA27" s="26"/>
      <c r="AB27" s="26">
        <v>0</v>
      </c>
      <c r="AC27" s="26">
        <v>0</v>
      </c>
      <c r="AD27" s="27"/>
      <c r="AE27" s="39"/>
      <c r="AF27" s="39"/>
      <c r="AG27" s="39"/>
      <c r="AH27" s="26"/>
      <c r="AI27" s="26"/>
      <c r="AJ27" s="26"/>
      <c r="AK27" s="26"/>
      <c r="AL27" s="26">
        <v>42903</v>
      </c>
      <c r="AM27" s="42"/>
      <c r="AN27" s="26">
        <v>748418</v>
      </c>
      <c r="AO27" s="26"/>
      <c r="AP27" s="26">
        <v>48194</v>
      </c>
      <c r="AQ27" s="26"/>
      <c r="AR27" s="26">
        <f>25000+25000</f>
        <v>50000</v>
      </c>
      <c r="AS27" s="42"/>
      <c r="AT27" s="42"/>
      <c r="AU27" s="42"/>
      <c r="AV27" s="42"/>
      <c r="AW27" s="27">
        <v>0</v>
      </c>
      <c r="AX27" s="26">
        <v>15000</v>
      </c>
      <c r="AY27" s="70">
        <f>-15000+15000</f>
        <v>0</v>
      </c>
      <c r="AZ27" s="70">
        <v>25000</v>
      </c>
      <c r="BA27" s="70">
        <v>82175</v>
      </c>
      <c r="BB27" s="70"/>
      <c r="BC27" s="70"/>
      <c r="BD27" s="39"/>
      <c r="BE27" s="39"/>
      <c r="BF27" s="39"/>
      <c r="BG27" s="27">
        <v>61068</v>
      </c>
      <c r="BH27" s="27"/>
      <c r="BI27" s="101"/>
      <c r="BJ27" s="105"/>
      <c r="BK27" s="26"/>
      <c r="BL27" s="101"/>
      <c r="BM27" s="26"/>
      <c r="BN27" s="26"/>
      <c r="BO27" s="26"/>
      <c r="BP27" s="26">
        <v>130383</v>
      </c>
      <c r="BQ27" s="26"/>
      <c r="BR27" s="26"/>
      <c r="BS27" s="26">
        <v>239963</v>
      </c>
      <c r="BT27" s="26">
        <f>-25000</f>
        <v>-25000</v>
      </c>
      <c r="BU27" s="26"/>
      <c r="BV27" s="26">
        <v>310127</v>
      </c>
      <c r="BW27" s="26"/>
      <c r="BX27" s="26"/>
      <c r="BY27" s="26">
        <v>158574</v>
      </c>
      <c r="BZ27" s="26">
        <f>-45000</f>
        <v>-45000</v>
      </c>
      <c r="CA27" s="26"/>
      <c r="CB27" s="26">
        <v>14371</v>
      </c>
      <c r="CC27" s="26">
        <v>7311</v>
      </c>
      <c r="CD27" s="26">
        <v>1578760</v>
      </c>
      <c r="CE27" s="26"/>
      <c r="CF27" s="26"/>
      <c r="CG27" s="26"/>
      <c r="CH27" s="26">
        <v>293942</v>
      </c>
      <c r="CI27" s="26"/>
    </row>
    <row r="28" spans="1:93" s="10" customFormat="1" x14ac:dyDescent="0.25">
      <c r="A28" s="11">
        <v>834</v>
      </c>
      <c r="B28" s="53" t="s">
        <v>22</v>
      </c>
      <c r="C28" s="8">
        <f t="shared" si="0"/>
        <v>49758119</v>
      </c>
      <c r="D28" s="27">
        <v>48421318</v>
      </c>
      <c r="E28" s="27">
        <v>0</v>
      </c>
      <c r="F28" s="27">
        <f>2992+23277+13473+1993+2415+7920+18248+2734+48620+3497-186+16624+80+4417+4379+20106+9022+6448+29+1615+23601+2422+2475+33</f>
        <v>216234</v>
      </c>
      <c r="G28" s="27">
        <v>0</v>
      </c>
      <c r="H28" s="27"/>
      <c r="I28" s="27"/>
      <c r="J28" s="39">
        <v>33145</v>
      </c>
      <c r="K28" s="39">
        <v>0</v>
      </c>
      <c r="L28" s="39">
        <v>0</v>
      </c>
      <c r="M28" s="42">
        <v>5</v>
      </c>
      <c r="N28" s="27">
        <v>407632</v>
      </c>
      <c r="O28" s="27">
        <v>-485420</v>
      </c>
      <c r="P28" s="105">
        <v>-258891</v>
      </c>
      <c r="Q28" s="39"/>
      <c r="R28" s="27">
        <v>89188</v>
      </c>
      <c r="S28" s="27"/>
      <c r="T28" s="27"/>
      <c r="U28" s="27"/>
      <c r="V28" s="27"/>
      <c r="W28" s="27"/>
      <c r="X28" s="27"/>
      <c r="Y28" s="27"/>
      <c r="Z28" s="27"/>
      <c r="AA28" s="27"/>
      <c r="AB28" s="27">
        <v>0</v>
      </c>
      <c r="AC28" s="27">
        <v>0</v>
      </c>
      <c r="AD28" s="27"/>
      <c r="AE28" s="39">
        <v>211104</v>
      </c>
      <c r="AF28" s="39"/>
      <c r="AG28" s="39"/>
      <c r="AH28" s="27"/>
      <c r="AI28" s="27"/>
      <c r="AJ28" s="27"/>
      <c r="AK28" s="27"/>
      <c r="AL28" s="26">
        <v>23608</v>
      </c>
      <c r="AM28" s="42"/>
      <c r="AN28" s="27">
        <v>0</v>
      </c>
      <c r="AO28" s="27">
        <v>12600</v>
      </c>
      <c r="AP28" s="27">
        <v>51724</v>
      </c>
      <c r="AQ28" s="27">
        <f>-7300</f>
        <v>-7300</v>
      </c>
      <c r="AR28" s="27"/>
      <c r="AS28" s="42"/>
      <c r="AT28" s="42"/>
      <c r="AU28" s="42"/>
      <c r="AV28" s="42"/>
      <c r="AW28" s="27">
        <v>0</v>
      </c>
      <c r="AX28" s="26">
        <v>15000</v>
      </c>
      <c r="AY28" s="70"/>
      <c r="AZ28" s="70"/>
      <c r="BA28" s="26">
        <v>46278</v>
      </c>
      <c r="BB28" s="26"/>
      <c r="BC28" s="26"/>
      <c r="BD28" s="39"/>
      <c r="BE28" s="39"/>
      <c r="BF28" s="39"/>
      <c r="BG28" s="27"/>
      <c r="BH28" s="27"/>
      <c r="BI28" s="101"/>
      <c r="BJ28" s="39"/>
      <c r="BK28" s="27"/>
      <c r="BL28" s="101"/>
      <c r="BM28" s="27"/>
      <c r="BN28" s="27"/>
      <c r="BO28" s="27"/>
      <c r="BP28" s="27">
        <v>82906</v>
      </c>
      <c r="BQ28" s="27"/>
      <c r="BR28" s="27"/>
      <c r="BS28" s="27">
        <v>136751</v>
      </c>
      <c r="BT28" s="27"/>
      <c r="BU28" s="27"/>
      <c r="BV28" s="27">
        <v>167700</v>
      </c>
      <c r="BW28" s="27"/>
      <c r="BX28" s="27"/>
      <c r="BY28" s="27">
        <v>85748</v>
      </c>
      <c r="BZ28" s="27"/>
      <c r="CA28" s="27"/>
      <c r="CB28" s="27">
        <v>14371</v>
      </c>
      <c r="CC28" s="27">
        <v>8496</v>
      </c>
      <c r="CD28" s="27">
        <v>316016</v>
      </c>
      <c r="CE28" s="27"/>
      <c r="CF28" s="27"/>
      <c r="CG28" s="27"/>
      <c r="CH28" s="27">
        <v>169906</v>
      </c>
      <c r="CI28" s="27"/>
      <c r="CO28" s="9"/>
    </row>
    <row r="29" spans="1:93" s="9" customFormat="1" x14ac:dyDescent="0.25">
      <c r="A29" s="11">
        <v>836</v>
      </c>
      <c r="B29" s="53" t="s">
        <v>23</v>
      </c>
      <c r="C29" s="8">
        <f t="shared" si="0"/>
        <v>36130736</v>
      </c>
      <c r="D29" s="27">
        <v>32445294</v>
      </c>
      <c r="E29" s="27">
        <v>124715</v>
      </c>
      <c r="F29" s="26">
        <f>55127+13668+42386+21237+7700+54311+61403+110+46852+129735+19171+58547-5307+4703+26534+2130+17019-8654+51794+23089+19965+1595+48519+67402-1615+9612+2528</f>
        <v>769561</v>
      </c>
      <c r="G29" s="26">
        <v>0</v>
      </c>
      <c r="H29" s="26"/>
      <c r="I29" s="26">
        <f>3000</f>
        <v>3000</v>
      </c>
      <c r="J29" s="39">
        <v>0</v>
      </c>
      <c r="K29" s="39">
        <v>1621</v>
      </c>
      <c r="L29" s="39">
        <v>184199</v>
      </c>
      <c r="M29" s="42">
        <v>47333</v>
      </c>
      <c r="N29" s="26">
        <v>397527</v>
      </c>
      <c r="O29" s="26">
        <v>-320581</v>
      </c>
      <c r="P29" s="105">
        <v>-170976</v>
      </c>
      <c r="Q29" s="39"/>
      <c r="R29" s="26">
        <v>45835</v>
      </c>
      <c r="S29" s="26"/>
      <c r="T29" s="27"/>
      <c r="U29" s="27"/>
      <c r="V29" s="27"/>
      <c r="W29" s="27"/>
      <c r="X29" s="27"/>
      <c r="Y29" s="26"/>
      <c r="Z29" s="26"/>
      <c r="AA29" s="26"/>
      <c r="AB29" s="26">
        <v>0</v>
      </c>
      <c r="AC29" s="26">
        <v>0</v>
      </c>
      <c r="AD29" s="27">
        <v>9503</v>
      </c>
      <c r="AE29" s="39">
        <f>39582+52776</f>
        <v>92358</v>
      </c>
      <c r="AF29" s="39"/>
      <c r="AG29" s="39"/>
      <c r="AH29" s="26"/>
      <c r="AI29" s="26"/>
      <c r="AJ29" s="26"/>
      <c r="AK29" s="26"/>
      <c r="AL29" s="26">
        <v>35000</v>
      </c>
      <c r="AM29" s="42"/>
      <c r="AN29" s="26">
        <v>224025</v>
      </c>
      <c r="AO29" s="26"/>
      <c r="AP29" s="26">
        <v>51724</v>
      </c>
      <c r="AQ29" s="26"/>
      <c r="AR29" s="26">
        <f>7300</f>
        <v>7300</v>
      </c>
      <c r="AS29" s="42"/>
      <c r="AT29" s="42"/>
      <c r="AU29" s="42"/>
      <c r="AV29" s="42"/>
      <c r="AW29" s="27">
        <v>500000</v>
      </c>
      <c r="AX29" s="26">
        <v>15000</v>
      </c>
      <c r="AY29" s="70"/>
      <c r="AZ29" s="70"/>
      <c r="BA29" s="26">
        <v>28232</v>
      </c>
      <c r="BB29" s="26"/>
      <c r="BC29" s="26"/>
      <c r="BD29" s="39">
        <v>961056</v>
      </c>
      <c r="BE29" s="39"/>
      <c r="BF29" s="39">
        <f>42500</f>
        <v>42500</v>
      </c>
      <c r="BG29" s="27">
        <v>18231</v>
      </c>
      <c r="BH29" s="27"/>
      <c r="BI29" s="101"/>
      <c r="BJ29" s="105">
        <v>35000</v>
      </c>
      <c r="BK29" s="26"/>
      <c r="BL29" s="101"/>
      <c r="BM29" s="26"/>
      <c r="BN29" s="26"/>
      <c r="BO29" s="26"/>
      <c r="BP29" s="26">
        <v>56080</v>
      </c>
      <c r="BQ29" s="26"/>
      <c r="BR29" s="26">
        <f>-3968</f>
        <v>-3968</v>
      </c>
      <c r="BS29" s="26">
        <v>83867</v>
      </c>
      <c r="BT29" s="26"/>
      <c r="BU29" s="26"/>
      <c r="BV29" s="26">
        <v>106768</v>
      </c>
      <c r="BW29" s="26"/>
      <c r="BX29" s="26"/>
      <c r="BY29" s="26">
        <v>54592</v>
      </c>
      <c r="BZ29" s="26">
        <f>-12150</f>
        <v>-12150</v>
      </c>
      <c r="CA29" s="26"/>
      <c r="CB29" s="26">
        <v>14366</v>
      </c>
      <c r="CC29" s="26"/>
      <c r="CD29" s="26">
        <v>176174</v>
      </c>
      <c r="CE29" s="26"/>
      <c r="CF29" s="26"/>
      <c r="CG29" s="26"/>
      <c r="CH29" s="26">
        <v>107550</v>
      </c>
      <c r="CI29" s="26"/>
    </row>
    <row r="30" spans="1:93" s="9" customFormat="1" x14ac:dyDescent="0.25">
      <c r="A30" s="11">
        <v>838</v>
      </c>
      <c r="B30" s="53" t="s">
        <v>24</v>
      </c>
      <c r="C30" s="8">
        <f t="shared" si="0"/>
        <v>67918149</v>
      </c>
      <c r="D30" s="27">
        <v>66511188</v>
      </c>
      <c r="E30" s="27">
        <v>0</v>
      </c>
      <c r="F30" s="26">
        <f>5060+9460+15889+11048+652+26640+11761+22679+3410+9357+12760-8899+3564+3520+14080+17683+7634+2200+1650-1562+5170-9515</f>
        <v>164241</v>
      </c>
      <c r="G30" s="26">
        <v>200</v>
      </c>
      <c r="H30" s="26"/>
      <c r="I30" s="26"/>
      <c r="J30" s="39">
        <v>609459</v>
      </c>
      <c r="K30" s="39">
        <v>850</v>
      </c>
      <c r="L30" s="39">
        <v>0</v>
      </c>
      <c r="M30" s="42">
        <v>465</v>
      </c>
      <c r="N30" s="26">
        <v>511196</v>
      </c>
      <c r="O30" s="26">
        <v>-672487</v>
      </c>
      <c r="P30" s="105">
        <v>-358659</v>
      </c>
      <c r="Q30" s="39"/>
      <c r="R30" s="26">
        <v>121548</v>
      </c>
      <c r="S30" s="26"/>
      <c r="T30" s="27"/>
      <c r="U30" s="27"/>
      <c r="V30" s="27"/>
      <c r="W30" s="27"/>
      <c r="X30" s="27"/>
      <c r="Y30" s="26"/>
      <c r="Z30" s="26"/>
      <c r="AA30" s="26"/>
      <c r="AB30" s="26">
        <v>0</v>
      </c>
      <c r="AC30" s="26">
        <v>0</v>
      </c>
      <c r="AD30" s="27"/>
      <c r="AE30" s="39"/>
      <c r="AF30" s="39"/>
      <c r="AG30" s="39"/>
      <c r="AH30" s="26"/>
      <c r="AI30" s="26"/>
      <c r="AJ30" s="26"/>
      <c r="AK30" s="26"/>
      <c r="AL30" s="26"/>
      <c r="AM30" s="42"/>
      <c r="AN30" s="26"/>
      <c r="AO30" s="26"/>
      <c r="AP30" s="26">
        <v>51724</v>
      </c>
      <c r="AQ30" s="26"/>
      <c r="AR30" s="26">
        <f>7000+3000</f>
        <v>10000</v>
      </c>
      <c r="AS30" s="42"/>
      <c r="AT30" s="42"/>
      <c r="AU30" s="42"/>
      <c r="AV30" s="42"/>
      <c r="AW30" s="27">
        <v>0</v>
      </c>
      <c r="AX30" s="26">
        <v>15000</v>
      </c>
      <c r="AY30" s="70"/>
      <c r="AZ30" s="70"/>
      <c r="BA30" s="26">
        <v>61652</v>
      </c>
      <c r="BB30" s="26">
        <f>-38701</f>
        <v>-38701</v>
      </c>
      <c r="BC30" s="26"/>
      <c r="BD30" s="39"/>
      <c r="BE30" s="39"/>
      <c r="BF30" s="39"/>
      <c r="BG30" s="27"/>
      <c r="BH30" s="27"/>
      <c r="BI30" s="101"/>
      <c r="BJ30" s="105"/>
      <c r="BK30" s="26"/>
      <c r="BL30" s="101"/>
      <c r="BM30" s="26"/>
      <c r="BN30" s="26"/>
      <c r="BO30" s="26"/>
      <c r="BP30" s="26">
        <v>103979</v>
      </c>
      <c r="BQ30" s="26"/>
      <c r="BR30" s="26">
        <v>-103979</v>
      </c>
      <c r="BS30" s="26">
        <v>182564</v>
      </c>
      <c r="BT30" s="26">
        <v>-150000</v>
      </c>
      <c r="BU30" s="26"/>
      <c r="BV30" s="26">
        <v>236222</v>
      </c>
      <c r="BW30" s="26"/>
      <c r="BX30" s="26"/>
      <c r="BY30" s="26">
        <v>120785</v>
      </c>
      <c r="BZ30" s="26">
        <v>-120785</v>
      </c>
      <c r="CA30" s="26"/>
      <c r="CB30" s="26">
        <v>14371</v>
      </c>
      <c r="CC30" s="26"/>
      <c r="CD30" s="26">
        <v>424290</v>
      </c>
      <c r="CE30" s="26"/>
      <c r="CF30" s="26"/>
      <c r="CG30" s="26"/>
      <c r="CH30" s="26">
        <v>223026</v>
      </c>
      <c r="CI30" s="26"/>
    </row>
    <row r="31" spans="1:93" s="9" customFormat="1" x14ac:dyDescent="0.25">
      <c r="A31" s="11">
        <v>840</v>
      </c>
      <c r="B31" s="53" t="s">
        <v>25</v>
      </c>
      <c r="C31" s="8">
        <f t="shared" si="0"/>
        <v>9886213</v>
      </c>
      <c r="D31" s="27">
        <v>8984515</v>
      </c>
      <c r="E31" s="27">
        <v>0</v>
      </c>
      <c r="F31" s="26">
        <f>10446+1888</f>
        <v>12334</v>
      </c>
      <c r="G31" s="26">
        <v>1109</v>
      </c>
      <c r="H31" s="26"/>
      <c r="I31" s="26"/>
      <c r="J31" s="39">
        <v>321474</v>
      </c>
      <c r="K31" s="39">
        <v>14301</v>
      </c>
      <c r="L31" s="39">
        <v>0</v>
      </c>
      <c r="M31" s="42">
        <v>91088</v>
      </c>
      <c r="N31" s="26">
        <v>84093</v>
      </c>
      <c r="O31" s="26">
        <v>-88955</v>
      </c>
      <c r="P31" s="105">
        <v>-47442</v>
      </c>
      <c r="Q31" s="39"/>
      <c r="R31" s="26">
        <v>10461</v>
      </c>
      <c r="S31" s="26">
        <v>11169</v>
      </c>
      <c r="T31" s="27"/>
      <c r="U31" s="27"/>
      <c r="V31" s="27"/>
      <c r="W31" s="27"/>
      <c r="X31" s="27"/>
      <c r="Y31" s="26"/>
      <c r="Z31" s="26"/>
      <c r="AA31" s="26"/>
      <c r="AB31" s="26">
        <v>0</v>
      </c>
      <c r="AC31" s="26">
        <v>0</v>
      </c>
      <c r="AD31" s="27"/>
      <c r="AE31" s="39">
        <v>79164</v>
      </c>
      <c r="AF31" s="39"/>
      <c r="AG31" s="39"/>
      <c r="AH31" s="26"/>
      <c r="AI31" s="26">
        <v>8000</v>
      </c>
      <c r="AJ31" s="26"/>
      <c r="AK31" s="26"/>
      <c r="AL31" s="26">
        <v>23608</v>
      </c>
      <c r="AM31" s="42"/>
      <c r="AN31" s="26">
        <v>81169</v>
      </c>
      <c r="AO31" s="26"/>
      <c r="AP31" s="26">
        <v>51724</v>
      </c>
      <c r="AQ31" s="26"/>
      <c r="AR31" s="26"/>
      <c r="AS31" s="42"/>
      <c r="AT31" s="42"/>
      <c r="AU31" s="42"/>
      <c r="AV31" s="42"/>
      <c r="AW31" s="27">
        <v>0</v>
      </c>
      <c r="AX31" s="26">
        <v>15000</v>
      </c>
      <c r="AY31" s="70">
        <v>-11000</v>
      </c>
      <c r="AZ31" s="70"/>
      <c r="BA31" s="26">
        <v>6159</v>
      </c>
      <c r="BB31" s="26">
        <f>-422</f>
        <v>-422</v>
      </c>
      <c r="BC31" s="26">
        <f>402</f>
        <v>402</v>
      </c>
      <c r="BD31" s="39"/>
      <c r="BE31" s="39"/>
      <c r="BF31" s="39"/>
      <c r="BG31" s="27">
        <v>4630</v>
      </c>
      <c r="BH31" s="27"/>
      <c r="BI31" s="101"/>
      <c r="BJ31" s="105"/>
      <c r="BK31" s="26"/>
      <c r="BL31" s="101"/>
      <c r="BM31" s="26"/>
      <c r="BN31" s="26"/>
      <c r="BO31" s="26"/>
      <c r="BP31" s="26">
        <v>29743</v>
      </c>
      <c r="BQ31" s="26">
        <v>525</v>
      </c>
      <c r="BR31" s="26">
        <f>-9000</f>
        <v>-9000</v>
      </c>
      <c r="BS31" s="26">
        <v>21181</v>
      </c>
      <c r="BT31" s="26"/>
      <c r="BU31" s="26"/>
      <c r="BV31" s="26">
        <v>25988</v>
      </c>
      <c r="BW31" s="26"/>
      <c r="BX31" s="26">
        <v>5000</v>
      </c>
      <c r="BY31" s="26">
        <v>13288</v>
      </c>
      <c r="BZ31" s="26">
        <f>-1995</f>
        <v>-1995</v>
      </c>
      <c r="CA31" s="26"/>
      <c r="CB31" s="26">
        <v>19102</v>
      </c>
      <c r="CC31" s="26">
        <v>3137</v>
      </c>
      <c r="CD31" s="26">
        <v>95383</v>
      </c>
      <c r="CE31" s="26"/>
      <c r="CF31" s="26"/>
      <c r="CG31" s="26"/>
      <c r="CH31" s="26">
        <v>31280</v>
      </c>
      <c r="CI31" s="26"/>
    </row>
    <row r="32" spans="1:93" s="9" customFormat="1" x14ac:dyDescent="0.25">
      <c r="A32" s="11">
        <v>842</v>
      </c>
      <c r="B32" s="53" t="s">
        <v>26</v>
      </c>
      <c r="C32" s="8">
        <f t="shared" si="0"/>
        <v>12385428</v>
      </c>
      <c r="D32" s="27">
        <v>11554898</v>
      </c>
      <c r="E32" s="27">
        <v>0</v>
      </c>
      <c r="F32" s="26">
        <f>7700+5491+2992+46310+18480+12320+8360+2288+6600+6160</f>
        <v>116701</v>
      </c>
      <c r="G32" s="26">
        <v>0</v>
      </c>
      <c r="H32" s="26"/>
      <c r="I32" s="26">
        <f>1500+1000</f>
        <v>2500</v>
      </c>
      <c r="J32" s="39">
        <v>116630</v>
      </c>
      <c r="K32" s="39">
        <v>778</v>
      </c>
      <c r="L32" s="39">
        <v>40892</v>
      </c>
      <c r="M32" s="42">
        <v>116494</v>
      </c>
      <c r="N32" s="26">
        <v>94076</v>
      </c>
      <c r="O32" s="26">
        <v>-114735</v>
      </c>
      <c r="P32" s="105">
        <v>-61192</v>
      </c>
      <c r="Q32" s="39"/>
      <c r="R32" s="26">
        <v>18042</v>
      </c>
      <c r="S32" s="26">
        <v>19262</v>
      </c>
      <c r="T32" s="27"/>
      <c r="U32" s="27"/>
      <c r="V32" s="27"/>
      <c r="W32" s="27"/>
      <c r="X32" s="27"/>
      <c r="Y32" s="26"/>
      <c r="Z32" s="26"/>
      <c r="AA32" s="26"/>
      <c r="AB32" s="26">
        <v>0</v>
      </c>
      <c r="AC32" s="26">
        <v>0</v>
      </c>
      <c r="AD32" s="27"/>
      <c r="AE32" s="39">
        <v>79164</v>
      </c>
      <c r="AF32" s="39"/>
      <c r="AG32" s="39"/>
      <c r="AH32" s="26"/>
      <c r="AI32" s="26"/>
      <c r="AJ32" s="26"/>
      <c r="AK32" s="26"/>
      <c r="AL32" s="26"/>
      <c r="AM32" s="42"/>
      <c r="AN32" s="26">
        <v>113642</v>
      </c>
      <c r="AO32" s="26"/>
      <c r="AP32" s="26">
        <v>51624</v>
      </c>
      <c r="AQ32" s="26">
        <f>-20000-3306</f>
        <v>-23306</v>
      </c>
      <c r="AR32" s="26"/>
      <c r="AS32" s="42"/>
      <c r="AT32" s="42"/>
      <c r="AU32" s="42"/>
      <c r="AV32" s="42"/>
      <c r="AW32" s="27">
        <v>0</v>
      </c>
      <c r="AX32" s="26">
        <v>15000</v>
      </c>
      <c r="AY32" s="70">
        <f>-11549-1423</f>
        <v>-12972</v>
      </c>
      <c r="AZ32" s="70"/>
      <c r="BA32" s="26">
        <v>9273</v>
      </c>
      <c r="BB32" s="26"/>
      <c r="BC32" s="26"/>
      <c r="BD32" s="39"/>
      <c r="BE32" s="39"/>
      <c r="BF32" s="39"/>
      <c r="BG32" s="27">
        <v>4000</v>
      </c>
      <c r="BH32" s="27"/>
      <c r="BI32" s="101"/>
      <c r="BJ32" s="105"/>
      <c r="BK32" s="26"/>
      <c r="BL32" s="101"/>
      <c r="BM32" s="26"/>
      <c r="BN32" s="26"/>
      <c r="BO32" s="26"/>
      <c r="BP32" s="26">
        <v>33636</v>
      </c>
      <c r="BQ32" s="26"/>
      <c r="BR32" s="26">
        <f>-3000</f>
        <v>-3000</v>
      </c>
      <c r="BS32" s="26">
        <v>29643</v>
      </c>
      <c r="BT32" s="26">
        <f>-18000-36</f>
        <v>-18036</v>
      </c>
      <c r="BU32" s="26"/>
      <c r="BV32" s="26">
        <v>34987</v>
      </c>
      <c r="BW32" s="26">
        <f>-4048-17</f>
        <v>-4065</v>
      </c>
      <c r="BX32" s="26"/>
      <c r="BY32" s="26">
        <v>17889</v>
      </c>
      <c r="BZ32" s="26">
        <f>-99</f>
        <v>-99</v>
      </c>
      <c r="CA32" s="26"/>
      <c r="CB32" s="26">
        <v>14371</v>
      </c>
      <c r="CC32" s="26"/>
      <c r="CD32" s="26">
        <v>99170</v>
      </c>
      <c r="CE32" s="26"/>
      <c r="CF32" s="26"/>
      <c r="CG32" s="26"/>
      <c r="CH32" s="26">
        <v>42040</v>
      </c>
      <c r="CI32" s="26">
        <f>-1879</f>
        <v>-1879</v>
      </c>
    </row>
    <row r="33" spans="1:93" s="9" customFormat="1" x14ac:dyDescent="0.25">
      <c r="A33" s="11">
        <v>844</v>
      </c>
      <c r="B33" s="53" t="s">
        <v>27</v>
      </c>
      <c r="C33" s="8">
        <f t="shared" si="0"/>
        <v>16126036</v>
      </c>
      <c r="D33" s="27">
        <v>14365496</v>
      </c>
      <c r="E33" s="27">
        <v>0</v>
      </c>
      <c r="F33" s="26">
        <f>286+264+285+330+7863+3420+7132+572-554</f>
        <v>19598</v>
      </c>
      <c r="G33" s="26">
        <v>0</v>
      </c>
      <c r="H33" s="26"/>
      <c r="I33" s="26">
        <f>2000+1200</f>
        <v>3200</v>
      </c>
      <c r="J33" s="39">
        <v>1080848</v>
      </c>
      <c r="K33" s="39">
        <v>2851</v>
      </c>
      <c r="L33" s="39">
        <v>5349</v>
      </c>
      <c r="M33" s="42">
        <v>141468</v>
      </c>
      <c r="N33" s="26">
        <v>153611</v>
      </c>
      <c r="O33" s="26">
        <v>-143427</v>
      </c>
      <c r="P33" s="105">
        <v>-76495</v>
      </c>
      <c r="Q33" s="39"/>
      <c r="R33" s="26">
        <v>21987</v>
      </c>
      <c r="S33" s="26">
        <v>23474</v>
      </c>
      <c r="T33" s="27"/>
      <c r="U33" s="27"/>
      <c r="V33" s="27"/>
      <c r="W33" s="27"/>
      <c r="X33" s="27"/>
      <c r="Y33" s="26"/>
      <c r="Z33" s="26"/>
      <c r="AA33" s="26"/>
      <c r="AB33" s="26">
        <v>0</v>
      </c>
      <c r="AC33" s="26">
        <v>0</v>
      </c>
      <c r="AD33" s="27">
        <v>15676</v>
      </c>
      <c r="AE33" s="39">
        <v>79164</v>
      </c>
      <c r="AF33" s="39"/>
      <c r="AG33" s="39"/>
      <c r="AH33" s="26">
        <v>10000</v>
      </c>
      <c r="AI33" s="26">
        <v>6546</v>
      </c>
      <c r="AJ33" s="26"/>
      <c r="AK33" s="26"/>
      <c r="AL33" s="26"/>
      <c r="AM33" s="42"/>
      <c r="AN33" s="26">
        <v>82845</v>
      </c>
      <c r="AO33" s="26">
        <v>5000</v>
      </c>
      <c r="AP33" s="26">
        <v>51724</v>
      </c>
      <c r="AQ33" s="26">
        <f>-40000-1170</f>
        <v>-41170</v>
      </c>
      <c r="AR33" s="26"/>
      <c r="AS33" s="42"/>
      <c r="AT33" s="42"/>
      <c r="AU33" s="42"/>
      <c r="AV33" s="42"/>
      <c r="AW33" s="27">
        <v>0</v>
      </c>
      <c r="AX33" s="26">
        <v>15000</v>
      </c>
      <c r="AY33" s="70">
        <v>-8000</v>
      </c>
      <c r="AZ33" s="70"/>
      <c r="BA33" s="26">
        <v>12497</v>
      </c>
      <c r="BB33" s="26"/>
      <c r="BC33" s="26">
        <f>7703</f>
        <v>7703</v>
      </c>
      <c r="BD33" s="39"/>
      <c r="BE33" s="39"/>
      <c r="BF33" s="39"/>
      <c r="BG33" s="27">
        <v>6764</v>
      </c>
      <c r="BH33" s="27"/>
      <c r="BI33" s="101"/>
      <c r="BJ33" s="105">
        <v>35000</v>
      </c>
      <c r="BK33" s="26"/>
      <c r="BL33" s="101"/>
      <c r="BM33" s="26"/>
      <c r="BN33" s="26"/>
      <c r="BO33" s="26"/>
      <c r="BP33" s="26">
        <v>36060</v>
      </c>
      <c r="BQ33" s="26"/>
      <c r="BR33" s="26">
        <f>-1800</f>
        <v>-1800</v>
      </c>
      <c r="BS33" s="26">
        <v>34913</v>
      </c>
      <c r="BT33" s="26">
        <f>-31500</f>
        <v>-31500</v>
      </c>
      <c r="BU33" s="26"/>
      <c r="BV33" s="26">
        <v>45373</v>
      </c>
      <c r="BW33" s="26"/>
      <c r="BX33" s="26"/>
      <c r="BY33" s="26">
        <v>23200</v>
      </c>
      <c r="BZ33" s="26">
        <f>-10000-11300</f>
        <v>-21300</v>
      </c>
      <c r="CA33" s="26">
        <f>1350</f>
        <v>1350</v>
      </c>
      <c r="CB33" s="26">
        <v>19102</v>
      </c>
      <c r="CC33" s="26"/>
      <c r="CD33" s="26">
        <v>90746</v>
      </c>
      <c r="CE33" s="26"/>
      <c r="CF33" s="26"/>
      <c r="CG33" s="26"/>
      <c r="CH33" s="26">
        <v>53183</v>
      </c>
      <c r="CI33" s="26"/>
    </row>
    <row r="34" spans="1:93" s="9" customFormat="1" x14ac:dyDescent="0.25">
      <c r="A34" s="11">
        <v>846</v>
      </c>
      <c r="B34" s="53" t="s">
        <v>28</v>
      </c>
      <c r="C34" s="8">
        <f t="shared" si="0"/>
        <v>10777183</v>
      </c>
      <c r="D34" s="27">
        <v>9858058</v>
      </c>
      <c r="E34" s="27">
        <v>0</v>
      </c>
      <c r="F34" s="26">
        <f>3233+5479+7448+10817+1720+523-213-6384</f>
        <v>22623</v>
      </c>
      <c r="G34" s="26">
        <v>0</v>
      </c>
      <c r="H34" s="26"/>
      <c r="I34" s="26"/>
      <c r="J34" s="39">
        <v>0</v>
      </c>
      <c r="K34" s="39">
        <v>4277</v>
      </c>
      <c r="L34" s="39">
        <v>18414</v>
      </c>
      <c r="M34" s="42">
        <v>74177</v>
      </c>
      <c r="N34" s="26">
        <v>109477</v>
      </c>
      <c r="O34" s="26">
        <v>-97814</v>
      </c>
      <c r="P34" s="105">
        <v>-52167</v>
      </c>
      <c r="Q34" s="39"/>
      <c r="R34" s="26">
        <v>13786</v>
      </c>
      <c r="S34" s="26">
        <v>14718</v>
      </c>
      <c r="T34" s="27"/>
      <c r="U34" s="27"/>
      <c r="V34" s="27"/>
      <c r="W34" s="27"/>
      <c r="X34" s="27"/>
      <c r="Y34" s="26"/>
      <c r="Z34" s="26"/>
      <c r="AA34" s="26"/>
      <c r="AB34" s="26">
        <v>0</v>
      </c>
      <c r="AC34" s="26">
        <v>0</v>
      </c>
      <c r="AD34" s="27"/>
      <c r="AE34" s="39"/>
      <c r="AF34" s="39">
        <f>79164</f>
        <v>79164</v>
      </c>
      <c r="AG34" s="39"/>
      <c r="AH34" s="26"/>
      <c r="AI34" s="26"/>
      <c r="AJ34" s="26"/>
      <c r="AK34" s="26"/>
      <c r="AL34" s="26">
        <v>42903</v>
      </c>
      <c r="AM34" s="42"/>
      <c r="AN34" s="26">
        <v>54107</v>
      </c>
      <c r="AO34" s="26">
        <v>12600</v>
      </c>
      <c r="AP34" s="26">
        <v>49624</v>
      </c>
      <c r="AQ34" s="26">
        <v>-15000</v>
      </c>
      <c r="AR34" s="26">
        <v>6000</v>
      </c>
      <c r="AS34" s="42"/>
      <c r="AT34" s="42"/>
      <c r="AU34" s="42"/>
      <c r="AV34" s="42"/>
      <c r="AW34" s="27">
        <v>0</v>
      </c>
      <c r="AX34" s="26">
        <v>15000</v>
      </c>
      <c r="AY34" s="70"/>
      <c r="AZ34" s="70"/>
      <c r="BA34" s="26">
        <v>7763</v>
      </c>
      <c r="BB34" s="26"/>
      <c r="BC34" s="26"/>
      <c r="BD34" s="39"/>
      <c r="BE34" s="39"/>
      <c r="BF34" s="39"/>
      <c r="BG34" s="27">
        <v>5746</v>
      </c>
      <c r="BH34" s="27"/>
      <c r="BI34" s="101"/>
      <c r="BJ34" s="105"/>
      <c r="BK34" s="26"/>
      <c r="BL34" s="101"/>
      <c r="BM34" s="26">
        <v>326639</v>
      </c>
      <c r="BN34" s="26"/>
      <c r="BO34" s="26">
        <v>-34356</v>
      </c>
      <c r="BP34" s="26">
        <v>29838</v>
      </c>
      <c r="BQ34" s="26"/>
      <c r="BR34" s="26"/>
      <c r="BS34" s="26">
        <v>21387</v>
      </c>
      <c r="BT34" s="26"/>
      <c r="BU34" s="26"/>
      <c r="BV34" s="26">
        <v>28742</v>
      </c>
      <c r="BW34" s="26"/>
      <c r="BX34" s="26"/>
      <c r="BY34" s="26">
        <v>14696</v>
      </c>
      <c r="BZ34" s="26"/>
      <c r="CA34" s="26"/>
      <c r="CB34" s="26">
        <v>19102</v>
      </c>
      <c r="CC34" s="26">
        <v>1431</v>
      </c>
      <c r="CD34" s="26">
        <v>109423</v>
      </c>
      <c r="CE34" s="26"/>
      <c r="CF34" s="26"/>
      <c r="CG34" s="26"/>
      <c r="CH34" s="26">
        <v>36825</v>
      </c>
      <c r="CI34" s="26"/>
    </row>
    <row r="35" spans="1:93" s="9" customFormat="1" x14ac:dyDescent="0.25">
      <c r="A35" s="11">
        <v>847</v>
      </c>
      <c r="B35" s="53" t="s">
        <v>29</v>
      </c>
      <c r="C35" s="8">
        <f t="shared" si="0"/>
        <v>28003777</v>
      </c>
      <c r="D35" s="27">
        <v>27057629</v>
      </c>
      <c r="E35" s="27">
        <v>0</v>
      </c>
      <c r="F35" s="26">
        <f>33990-13679+1760</f>
        <v>22071</v>
      </c>
      <c r="G35" s="26">
        <v>0</v>
      </c>
      <c r="H35" s="26"/>
      <c r="I35" s="26"/>
      <c r="J35" s="39">
        <v>0</v>
      </c>
      <c r="K35" s="39">
        <v>596</v>
      </c>
      <c r="L35" s="39">
        <v>0</v>
      </c>
      <c r="M35" s="42">
        <v>1</v>
      </c>
      <c r="N35" s="26">
        <v>246937</v>
      </c>
      <c r="O35" s="26">
        <v>-272990</v>
      </c>
      <c r="P35" s="105">
        <v>-145594</v>
      </c>
      <c r="Q35" s="39"/>
      <c r="R35" s="26">
        <v>29833</v>
      </c>
      <c r="S35" s="26"/>
      <c r="T35" s="27"/>
      <c r="U35" s="27"/>
      <c r="V35" s="27"/>
      <c r="W35" s="27"/>
      <c r="X35" s="27"/>
      <c r="Y35" s="26"/>
      <c r="Z35" s="26"/>
      <c r="AA35" s="26"/>
      <c r="AB35" s="26">
        <v>0</v>
      </c>
      <c r="AC35" s="26">
        <v>0</v>
      </c>
      <c r="AD35" s="27"/>
      <c r="AE35" s="39"/>
      <c r="AF35" s="39">
        <v>79164</v>
      </c>
      <c r="AG35" s="39"/>
      <c r="AH35" s="26"/>
      <c r="AI35" s="26"/>
      <c r="AJ35" s="26"/>
      <c r="AK35" s="26"/>
      <c r="AL35" s="26"/>
      <c r="AM35" s="42"/>
      <c r="AN35" s="26">
        <v>262790</v>
      </c>
      <c r="AO35" s="26"/>
      <c r="AP35" s="26">
        <v>51724</v>
      </c>
      <c r="AQ35" s="26">
        <f>-20000-4000-1000-15000-40</f>
        <v>-40040</v>
      </c>
      <c r="AR35" s="26"/>
      <c r="AS35" s="42"/>
      <c r="AT35" s="42"/>
      <c r="AU35" s="42"/>
      <c r="AV35" s="42"/>
      <c r="AW35" s="27">
        <v>0</v>
      </c>
      <c r="AX35" s="26">
        <v>15000</v>
      </c>
      <c r="AY35" s="70"/>
      <c r="AZ35" s="70"/>
      <c r="BA35" s="26">
        <v>24806</v>
      </c>
      <c r="BB35" s="26"/>
      <c r="BC35" s="26"/>
      <c r="BD35" s="39"/>
      <c r="BE35" s="39"/>
      <c r="BF35" s="39"/>
      <c r="BG35" s="27">
        <v>14012</v>
      </c>
      <c r="BH35" s="27"/>
      <c r="BI35" s="101"/>
      <c r="BJ35" s="105"/>
      <c r="BK35" s="26"/>
      <c r="BL35" s="101"/>
      <c r="BM35" s="26"/>
      <c r="BN35" s="26"/>
      <c r="BO35" s="26"/>
      <c r="BP35" s="26">
        <v>52791</v>
      </c>
      <c r="BQ35" s="26"/>
      <c r="BR35" s="26"/>
      <c r="BS35" s="26">
        <v>71285</v>
      </c>
      <c r="BT35" s="26"/>
      <c r="BU35" s="26"/>
      <c r="BV35" s="26">
        <v>92428</v>
      </c>
      <c r="BW35" s="26"/>
      <c r="BX35" s="26"/>
      <c r="BY35" s="26">
        <v>47260</v>
      </c>
      <c r="BZ35" s="26"/>
      <c r="CA35" s="26"/>
      <c r="CB35" s="26">
        <v>19102</v>
      </c>
      <c r="CC35" s="26"/>
      <c r="CD35" s="26">
        <v>279258</v>
      </c>
      <c r="CE35" s="26"/>
      <c r="CF35" s="26"/>
      <c r="CG35" s="26"/>
      <c r="CH35" s="26">
        <v>95714</v>
      </c>
      <c r="CI35" s="26"/>
    </row>
    <row r="36" spans="1:93" s="9" customFormat="1" x14ac:dyDescent="0.25">
      <c r="A36" s="11">
        <v>848</v>
      </c>
      <c r="B36" s="53" t="s">
        <v>30</v>
      </c>
      <c r="C36" s="8">
        <f t="shared" si="0"/>
        <v>30486188</v>
      </c>
      <c r="D36" s="27">
        <v>27819129</v>
      </c>
      <c r="E36" s="27">
        <v>0</v>
      </c>
      <c r="F36" s="26">
        <f>17006+360+480+285+27887-480+513+634+27887-27887+667</f>
        <v>47352</v>
      </c>
      <c r="G36" s="26">
        <v>0</v>
      </c>
      <c r="H36" s="26"/>
      <c r="I36" s="26">
        <v>2000</v>
      </c>
      <c r="J36" s="39">
        <v>0</v>
      </c>
      <c r="K36" s="39">
        <v>0</v>
      </c>
      <c r="L36" s="39">
        <v>0</v>
      </c>
      <c r="M36" s="42">
        <v>137</v>
      </c>
      <c r="N36" s="26">
        <v>259042</v>
      </c>
      <c r="O36" s="26">
        <v>-281255</v>
      </c>
      <c r="P36" s="105">
        <v>-150003</v>
      </c>
      <c r="Q36" s="39"/>
      <c r="R36" s="26">
        <v>26996</v>
      </c>
      <c r="S36" s="26">
        <v>28822</v>
      </c>
      <c r="T36" s="27"/>
      <c r="U36" s="27"/>
      <c r="V36" s="27"/>
      <c r="W36" s="27"/>
      <c r="X36" s="27"/>
      <c r="Y36" s="26"/>
      <c r="Z36" s="26"/>
      <c r="AA36" s="26"/>
      <c r="AB36" s="26">
        <v>557433</v>
      </c>
      <c r="AC36" s="26">
        <v>0</v>
      </c>
      <c r="AD36" s="27"/>
      <c r="AE36" s="39">
        <v>158328</v>
      </c>
      <c r="AF36" s="39"/>
      <c r="AG36" s="39"/>
      <c r="AH36" s="26"/>
      <c r="AI36" s="26"/>
      <c r="AJ36" s="26"/>
      <c r="AK36" s="26"/>
      <c r="AL36" s="26">
        <v>42903</v>
      </c>
      <c r="AM36" s="42"/>
      <c r="AN36" s="26">
        <v>340006</v>
      </c>
      <c r="AO36" s="26">
        <v>11061</v>
      </c>
      <c r="AP36" s="26">
        <v>51724</v>
      </c>
      <c r="AQ36" s="26">
        <f>-20000-11299</f>
        <v>-31299</v>
      </c>
      <c r="AR36" s="26"/>
      <c r="AS36" s="42"/>
      <c r="AT36" s="42"/>
      <c r="AU36" s="42"/>
      <c r="AV36" s="42"/>
      <c r="AW36" s="27">
        <v>0</v>
      </c>
      <c r="AX36" s="26">
        <v>15000</v>
      </c>
      <c r="AY36" s="70"/>
      <c r="AZ36" s="70"/>
      <c r="BA36" s="26">
        <v>23620</v>
      </c>
      <c r="BB36" s="26">
        <v>-5696</v>
      </c>
      <c r="BC36" s="26"/>
      <c r="BD36" s="39"/>
      <c r="BE36" s="39"/>
      <c r="BF36" s="39"/>
      <c r="BG36" s="27">
        <v>22619</v>
      </c>
      <c r="BH36" s="27">
        <v>37820</v>
      </c>
      <c r="BI36" s="101">
        <v>25000</v>
      </c>
      <c r="BJ36" s="105"/>
      <c r="BK36" s="26">
        <v>20000</v>
      </c>
      <c r="BL36" s="101">
        <v>25000</v>
      </c>
      <c r="BM36" s="26">
        <v>284564</v>
      </c>
      <c r="BN36" s="26"/>
      <c r="BO36" s="26">
        <v>-75091</v>
      </c>
      <c r="BP36" s="26">
        <v>59084</v>
      </c>
      <c r="BQ36" s="26"/>
      <c r="BR36" s="26">
        <v>-40544</v>
      </c>
      <c r="BS36" s="26">
        <v>84965</v>
      </c>
      <c r="BT36" s="26">
        <v>-58942</v>
      </c>
      <c r="BU36" s="26"/>
      <c r="BV36" s="26">
        <v>100649</v>
      </c>
      <c r="BW36" s="26"/>
      <c r="BX36" s="26">
        <v>68619</v>
      </c>
      <c r="BY36" s="26">
        <v>51464</v>
      </c>
      <c r="BZ36" s="26">
        <f>-464</f>
        <v>-464</v>
      </c>
      <c r="CA36" s="26"/>
      <c r="CB36" s="26">
        <v>19102</v>
      </c>
      <c r="CC36" s="26"/>
      <c r="CD36" s="26">
        <v>855429</v>
      </c>
      <c r="CE36" s="26"/>
      <c r="CF36" s="26"/>
      <c r="CG36" s="26"/>
      <c r="CH36" s="26">
        <v>91614</v>
      </c>
      <c r="CI36" s="26"/>
    </row>
    <row r="37" spans="1:93" s="10" customFormat="1" x14ac:dyDescent="0.25">
      <c r="A37" s="11">
        <v>850</v>
      </c>
      <c r="B37" s="53" t="s">
        <v>31</v>
      </c>
      <c r="C37" s="8">
        <f t="shared" si="0"/>
        <v>8338537</v>
      </c>
      <c r="D37" s="27">
        <v>7450841</v>
      </c>
      <c r="E37" s="27">
        <v>0</v>
      </c>
      <c r="F37" s="27">
        <f>4327+6173-2769</f>
        <v>7731</v>
      </c>
      <c r="G37" s="27">
        <v>0</v>
      </c>
      <c r="H37" s="27">
        <f>-3000-3000</f>
        <v>-6000</v>
      </c>
      <c r="I37" s="27"/>
      <c r="J37" s="39">
        <v>0</v>
      </c>
      <c r="K37" s="39">
        <v>122</v>
      </c>
      <c r="L37" s="39">
        <v>0</v>
      </c>
      <c r="M37" s="42">
        <v>6566</v>
      </c>
      <c r="N37" s="27">
        <v>68454</v>
      </c>
      <c r="O37" s="27">
        <v>-74004</v>
      </c>
      <c r="P37" s="105">
        <v>-39469</v>
      </c>
      <c r="Q37" s="39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>
        <v>0</v>
      </c>
      <c r="AC37" s="27">
        <v>0</v>
      </c>
      <c r="AD37" s="27"/>
      <c r="AE37" s="39"/>
      <c r="AF37" s="39">
        <f>79164+79164</f>
        <v>158328</v>
      </c>
      <c r="AG37" s="39"/>
      <c r="AH37" s="27"/>
      <c r="AI37" s="27"/>
      <c r="AJ37" s="27"/>
      <c r="AK37" s="27"/>
      <c r="AL37" s="26"/>
      <c r="AM37" s="42"/>
      <c r="AN37" s="27">
        <v>0</v>
      </c>
      <c r="AO37" s="27"/>
      <c r="AP37" s="27">
        <v>51724</v>
      </c>
      <c r="AQ37" s="27">
        <v>-15000</v>
      </c>
      <c r="AR37" s="27"/>
      <c r="AS37" s="42"/>
      <c r="AT37" s="42"/>
      <c r="AU37" s="42"/>
      <c r="AV37" s="42"/>
      <c r="AW37" s="27">
        <v>0</v>
      </c>
      <c r="AX37" s="26">
        <v>15000</v>
      </c>
      <c r="AY37" s="70">
        <f>-4000-6445</f>
        <v>-10445</v>
      </c>
      <c r="AZ37" s="70"/>
      <c r="BA37" s="26">
        <v>5004</v>
      </c>
      <c r="BB37" s="26">
        <f>-535</f>
        <v>-535</v>
      </c>
      <c r="BC37" s="26">
        <f>3303</f>
        <v>3303</v>
      </c>
      <c r="BD37" s="39"/>
      <c r="BE37" s="39"/>
      <c r="BF37" s="39"/>
      <c r="BG37" s="27"/>
      <c r="BH37" s="27"/>
      <c r="BI37" s="101"/>
      <c r="BJ37" s="39"/>
      <c r="BK37" s="27"/>
      <c r="BL37" s="101"/>
      <c r="BM37" s="27">
        <v>538847</v>
      </c>
      <c r="BN37" s="27"/>
      <c r="BO37" s="27"/>
      <c r="BP37" s="27">
        <v>24590</v>
      </c>
      <c r="BQ37" s="27">
        <f>2100</f>
        <v>2100</v>
      </c>
      <c r="BR37" s="27"/>
      <c r="BS37" s="27">
        <v>15277</v>
      </c>
      <c r="BT37" s="27"/>
      <c r="BU37" s="27">
        <v>2449</v>
      </c>
      <c r="BV37" s="27">
        <v>20248</v>
      </c>
      <c r="BW37" s="27"/>
      <c r="BX37" s="27"/>
      <c r="BY37" s="27">
        <v>10353</v>
      </c>
      <c r="BZ37" s="27">
        <f>-8</f>
        <v>-8</v>
      </c>
      <c r="CA37" s="27"/>
      <c r="CB37" s="27">
        <v>19102</v>
      </c>
      <c r="CC37" s="27"/>
      <c r="CD37" s="27">
        <v>56668</v>
      </c>
      <c r="CE37" s="27"/>
      <c r="CF37" s="27"/>
      <c r="CG37" s="27"/>
      <c r="CH37" s="27">
        <v>27291</v>
      </c>
      <c r="CI37" s="27"/>
      <c r="CO37" s="9"/>
    </row>
    <row r="38" spans="1:93" s="9" customFormat="1" x14ac:dyDescent="0.25">
      <c r="A38" s="11">
        <v>851</v>
      </c>
      <c r="B38" s="53" t="s">
        <v>32</v>
      </c>
      <c r="C38" s="8">
        <f t="shared" si="0"/>
        <v>11190225</v>
      </c>
      <c r="D38" s="27">
        <v>10244335</v>
      </c>
      <c r="E38" s="27">
        <v>0</v>
      </c>
      <c r="F38" s="26">
        <f>6125</f>
        <v>6125</v>
      </c>
      <c r="G38" s="26">
        <v>0</v>
      </c>
      <c r="H38" s="26">
        <v>-7000</v>
      </c>
      <c r="I38" s="26"/>
      <c r="J38" s="39">
        <v>0</v>
      </c>
      <c r="K38" s="39">
        <v>0</v>
      </c>
      <c r="L38" s="39">
        <v>96219</v>
      </c>
      <c r="M38" s="42">
        <v>78023</v>
      </c>
      <c r="N38" s="26">
        <v>115291</v>
      </c>
      <c r="O38" s="26">
        <v>-101938</v>
      </c>
      <c r="P38" s="105">
        <v>-54367</v>
      </c>
      <c r="Q38" s="39"/>
      <c r="R38" s="26">
        <v>9575</v>
      </c>
      <c r="S38" s="26">
        <v>10222</v>
      </c>
      <c r="T38" s="27"/>
      <c r="U38" s="27"/>
      <c r="V38" s="27"/>
      <c r="W38" s="27"/>
      <c r="X38" s="27"/>
      <c r="Y38" s="26"/>
      <c r="Z38" s="26"/>
      <c r="AA38" s="26"/>
      <c r="AB38" s="26">
        <v>0</v>
      </c>
      <c r="AC38" s="26">
        <v>0</v>
      </c>
      <c r="AD38" s="27">
        <v>72637</v>
      </c>
      <c r="AE38" s="39"/>
      <c r="AF38" s="39"/>
      <c r="AG38" s="39"/>
      <c r="AH38" s="26"/>
      <c r="AI38" s="26"/>
      <c r="AJ38" s="26"/>
      <c r="AK38" s="26"/>
      <c r="AL38" s="26"/>
      <c r="AM38" s="42"/>
      <c r="AN38" s="26">
        <v>299355</v>
      </c>
      <c r="AO38" s="26"/>
      <c r="AP38" s="26">
        <v>51724</v>
      </c>
      <c r="AQ38" s="26">
        <v>-2800</v>
      </c>
      <c r="AR38" s="26">
        <v>12500</v>
      </c>
      <c r="AS38" s="42"/>
      <c r="AT38" s="42"/>
      <c r="AU38" s="42"/>
      <c r="AV38" s="42"/>
      <c r="AW38" s="27">
        <v>0</v>
      </c>
      <c r="AX38" s="26">
        <v>15000</v>
      </c>
      <c r="AY38" s="70">
        <v>-15000</v>
      </c>
      <c r="AZ38" s="70"/>
      <c r="BA38" s="26">
        <v>6124</v>
      </c>
      <c r="BB38" s="26"/>
      <c r="BC38" s="26"/>
      <c r="BD38" s="39"/>
      <c r="BE38" s="39"/>
      <c r="BF38" s="39"/>
      <c r="BG38" s="27">
        <v>11637</v>
      </c>
      <c r="BH38" s="27"/>
      <c r="BI38" s="101"/>
      <c r="BJ38" s="105">
        <v>35000</v>
      </c>
      <c r="BK38" s="26"/>
      <c r="BL38" s="101"/>
      <c r="BM38" s="26"/>
      <c r="BN38" s="26"/>
      <c r="BO38" s="26"/>
      <c r="BP38" s="26">
        <v>32349</v>
      </c>
      <c r="BQ38" s="26"/>
      <c r="BR38" s="26">
        <v>-32349</v>
      </c>
      <c r="BS38" s="26">
        <v>26846</v>
      </c>
      <c r="BT38" s="26"/>
      <c r="BU38" s="26">
        <v>6742</v>
      </c>
      <c r="BV38" s="26">
        <v>32463</v>
      </c>
      <c r="BW38" s="26">
        <f>-12057</f>
        <v>-12057</v>
      </c>
      <c r="BX38" s="26">
        <v>12057</v>
      </c>
      <c r="BY38" s="26">
        <v>16599</v>
      </c>
      <c r="BZ38" s="26"/>
      <c r="CA38" s="26"/>
      <c r="CB38" s="26">
        <v>19102</v>
      </c>
      <c r="CC38" s="26">
        <v>5795</v>
      </c>
      <c r="CD38" s="26">
        <v>168857</v>
      </c>
      <c r="CE38" s="26"/>
      <c r="CF38" s="26"/>
      <c r="CG38" s="26"/>
      <c r="CH38" s="26">
        <v>31159</v>
      </c>
      <c r="CI38" s="26"/>
    </row>
    <row r="39" spans="1:93" s="9" customFormat="1" x14ac:dyDescent="0.25">
      <c r="A39" s="11">
        <v>852</v>
      </c>
      <c r="B39" s="53" t="s">
        <v>33</v>
      </c>
      <c r="C39" s="8">
        <f t="shared" si="0"/>
        <v>10462741</v>
      </c>
      <c r="D39" s="27">
        <v>9239105</v>
      </c>
      <c r="E39" s="27">
        <v>0</v>
      </c>
      <c r="F39" s="26">
        <f>7552-686+13910-686+1540+1970+15103+9187+15103+13465+1607+21963-1399-1848</f>
        <v>96781</v>
      </c>
      <c r="G39" s="26">
        <v>0</v>
      </c>
      <c r="H39" s="26">
        <f>-2000-10000</f>
        <v>-12000</v>
      </c>
      <c r="I39" s="26"/>
      <c r="J39" s="39">
        <v>1726</v>
      </c>
      <c r="K39" s="39">
        <v>0</v>
      </c>
      <c r="L39" s="39">
        <v>32525</v>
      </c>
      <c r="M39" s="42">
        <v>777</v>
      </c>
      <c r="N39" s="26">
        <v>119177</v>
      </c>
      <c r="O39" s="26">
        <v>-91502</v>
      </c>
      <c r="P39" s="105">
        <v>-48801</v>
      </c>
      <c r="Q39" s="39"/>
      <c r="R39" s="26">
        <v>10373</v>
      </c>
      <c r="S39" s="26">
        <v>11074</v>
      </c>
      <c r="T39" s="27"/>
      <c r="U39" s="27"/>
      <c r="V39" s="27"/>
      <c r="W39" s="27"/>
      <c r="X39" s="27"/>
      <c r="Y39" s="26"/>
      <c r="Z39" s="26"/>
      <c r="AA39" s="26"/>
      <c r="AB39" s="26">
        <v>0</v>
      </c>
      <c r="AC39" s="26">
        <v>0</v>
      </c>
      <c r="AD39" s="27">
        <v>31499</v>
      </c>
      <c r="AE39" s="39">
        <v>52776</v>
      </c>
      <c r="AF39" s="39">
        <f>52776</f>
        <v>52776</v>
      </c>
      <c r="AG39" s="39"/>
      <c r="AH39" s="26"/>
      <c r="AI39" s="26"/>
      <c r="AJ39" s="26"/>
      <c r="AK39" s="26"/>
      <c r="AL39" s="26"/>
      <c r="AM39" s="42"/>
      <c r="AN39" s="26">
        <v>123407</v>
      </c>
      <c r="AO39" s="26"/>
      <c r="AP39" s="26">
        <v>50299</v>
      </c>
      <c r="AQ39" s="26">
        <f>-30000-3499</f>
        <v>-33499</v>
      </c>
      <c r="AR39" s="26"/>
      <c r="AS39" s="42"/>
      <c r="AT39" s="42"/>
      <c r="AU39" s="42"/>
      <c r="AV39" s="42"/>
      <c r="AW39" s="27">
        <v>0</v>
      </c>
      <c r="AX39" s="26">
        <v>15000</v>
      </c>
      <c r="AY39" s="70">
        <v>-10000</v>
      </c>
      <c r="AZ39" s="70"/>
      <c r="BA39" s="26">
        <v>6175</v>
      </c>
      <c r="BB39" s="26"/>
      <c r="BC39" s="26"/>
      <c r="BD39" s="39"/>
      <c r="BE39" s="39"/>
      <c r="BF39" s="39"/>
      <c r="BG39" s="27">
        <v>6594</v>
      </c>
      <c r="BH39" s="27">
        <v>35980</v>
      </c>
      <c r="BI39" s="101">
        <v>25000</v>
      </c>
      <c r="BJ39" s="105">
        <v>35000</v>
      </c>
      <c r="BK39" s="26"/>
      <c r="BL39" s="101"/>
      <c r="BM39" s="26">
        <v>490853</v>
      </c>
      <c r="BN39" s="26"/>
      <c r="BO39" s="26"/>
      <c r="BP39" s="26">
        <v>29585</v>
      </c>
      <c r="BQ39" s="26"/>
      <c r="BR39" s="26"/>
      <c r="BS39" s="26">
        <v>20838</v>
      </c>
      <c r="BT39" s="26"/>
      <c r="BU39" s="26"/>
      <c r="BV39" s="26">
        <v>27081</v>
      </c>
      <c r="BW39" s="26"/>
      <c r="BX39" s="26"/>
      <c r="BY39" s="26">
        <v>13847</v>
      </c>
      <c r="BZ39" s="26"/>
      <c r="CA39" s="26"/>
      <c r="CB39" s="27">
        <v>19102</v>
      </c>
      <c r="CC39" s="27"/>
      <c r="CD39" s="26">
        <v>79855</v>
      </c>
      <c r="CE39" s="26"/>
      <c r="CF39" s="26"/>
      <c r="CG39" s="26"/>
      <c r="CH39" s="26">
        <v>31338</v>
      </c>
      <c r="CI39" s="26"/>
    </row>
    <row r="40" spans="1:93" s="9" customFormat="1" x14ac:dyDescent="0.25">
      <c r="A40" s="11">
        <v>853</v>
      </c>
      <c r="B40" s="53" t="s">
        <v>34</v>
      </c>
      <c r="C40" s="8">
        <f t="shared" ref="C40:C65" si="1">SUM(D40:CI40)</f>
        <v>19116775</v>
      </c>
      <c r="D40" s="27">
        <v>18424936</v>
      </c>
      <c r="E40" s="27">
        <v>0</v>
      </c>
      <c r="F40" s="26">
        <f>8988+12258+100+25+4923-3476+10818+2968+5280+75+426+11746+982+56+9557+2763+9317+3088+703+2512+7126+1540+3300-746</f>
        <v>94329</v>
      </c>
      <c r="G40" s="26">
        <v>840</v>
      </c>
      <c r="H40" s="26"/>
      <c r="I40" s="26">
        <f>10000</f>
        <v>10000</v>
      </c>
      <c r="J40" s="39">
        <v>88393</v>
      </c>
      <c r="K40" s="39">
        <v>0</v>
      </c>
      <c r="L40" s="39">
        <v>25812</v>
      </c>
      <c r="M40" s="42">
        <v>10</v>
      </c>
      <c r="N40" s="26">
        <v>169821</v>
      </c>
      <c r="O40" s="26">
        <v>-185756</v>
      </c>
      <c r="P40" s="105">
        <v>-99070</v>
      </c>
      <c r="Q40" s="39"/>
      <c r="R40" s="26">
        <v>18618</v>
      </c>
      <c r="S40" s="26"/>
      <c r="T40" s="27"/>
      <c r="U40" s="27"/>
      <c r="V40" s="27"/>
      <c r="W40" s="27"/>
      <c r="X40" s="27"/>
      <c r="Y40" s="26"/>
      <c r="Z40" s="26"/>
      <c r="AA40" s="26"/>
      <c r="AB40" s="26">
        <v>0</v>
      </c>
      <c r="AC40" s="26">
        <v>0</v>
      </c>
      <c r="AD40" s="27"/>
      <c r="AE40" s="39"/>
      <c r="AF40" s="39">
        <v>39582</v>
      </c>
      <c r="AG40" s="39"/>
      <c r="AH40" s="26"/>
      <c r="AI40" s="26"/>
      <c r="AJ40" s="26"/>
      <c r="AK40" s="26"/>
      <c r="AL40" s="26"/>
      <c r="AM40" s="42"/>
      <c r="AN40" s="26">
        <v>145857</v>
      </c>
      <c r="AO40" s="26"/>
      <c r="AP40" s="26">
        <v>51724</v>
      </c>
      <c r="AQ40" s="26">
        <v>-30000</v>
      </c>
      <c r="AR40" s="26"/>
      <c r="AS40" s="42"/>
      <c r="AT40" s="42"/>
      <c r="AU40" s="42"/>
      <c r="AV40" s="42"/>
      <c r="AW40" s="27">
        <v>0</v>
      </c>
      <c r="AX40" s="26">
        <v>15000</v>
      </c>
      <c r="AY40" s="70"/>
      <c r="AZ40" s="70"/>
      <c r="BA40" s="26">
        <v>15367</v>
      </c>
      <c r="BB40" s="26">
        <f>-15367</f>
        <v>-15367</v>
      </c>
      <c r="BC40" s="26"/>
      <c r="BD40" s="39"/>
      <c r="BE40" s="39"/>
      <c r="BF40" s="39"/>
      <c r="BG40" s="27">
        <v>12752</v>
      </c>
      <c r="BH40" s="27"/>
      <c r="BI40" s="101"/>
      <c r="BJ40" s="105"/>
      <c r="BK40" s="26"/>
      <c r="BL40" s="101"/>
      <c r="BM40" s="26"/>
      <c r="BN40" s="26"/>
      <c r="BO40" s="26"/>
      <c r="BP40" s="26">
        <v>41650</v>
      </c>
      <c r="BQ40" s="26"/>
      <c r="BR40" s="26">
        <f>-2406</f>
        <v>-2406</v>
      </c>
      <c r="BS40" s="26">
        <v>47066</v>
      </c>
      <c r="BT40" s="26">
        <f>-15000</f>
        <v>-15000</v>
      </c>
      <c r="BU40" s="26"/>
      <c r="BV40" s="26">
        <v>59439</v>
      </c>
      <c r="BW40" s="26"/>
      <c r="BX40" s="26"/>
      <c r="BY40" s="26">
        <v>30392</v>
      </c>
      <c r="BZ40" s="26">
        <f>-20000-5602</f>
        <v>-25602</v>
      </c>
      <c r="CA40" s="26"/>
      <c r="CB40" s="26">
        <v>0</v>
      </c>
      <c r="CC40" s="26"/>
      <c r="CD40" s="26">
        <v>135289</v>
      </c>
      <c r="CE40" s="26"/>
      <c r="CF40" s="26"/>
      <c r="CG40" s="26"/>
      <c r="CH40" s="26">
        <v>63099</v>
      </c>
      <c r="CI40" s="26"/>
    </row>
    <row r="41" spans="1:93" s="9" customFormat="1" x14ac:dyDescent="0.25">
      <c r="A41" s="11">
        <v>854</v>
      </c>
      <c r="B41" s="53" t="s">
        <v>35</v>
      </c>
      <c r="C41" s="8">
        <f t="shared" si="1"/>
        <v>9268434</v>
      </c>
      <c r="D41" s="27">
        <v>8358283</v>
      </c>
      <c r="E41" s="27">
        <v>0</v>
      </c>
      <c r="F41" s="26">
        <f>730+1596+1110+345-334</f>
        <v>3447</v>
      </c>
      <c r="G41" s="26">
        <v>0</v>
      </c>
      <c r="H41" s="26"/>
      <c r="I41" s="26"/>
      <c r="J41" s="39">
        <v>306423</v>
      </c>
      <c r="K41" s="39">
        <v>6022</v>
      </c>
      <c r="L41" s="39">
        <v>15298</v>
      </c>
      <c r="M41" s="42">
        <v>30996</v>
      </c>
      <c r="N41" s="26">
        <v>59554</v>
      </c>
      <c r="O41" s="26">
        <v>-82494</v>
      </c>
      <c r="P41" s="105">
        <v>-43997</v>
      </c>
      <c r="Q41" s="39"/>
      <c r="R41" s="26">
        <v>9797</v>
      </c>
      <c r="S41" s="26">
        <v>10459</v>
      </c>
      <c r="T41" s="27"/>
      <c r="U41" s="27"/>
      <c r="V41" s="27"/>
      <c r="W41" s="27"/>
      <c r="X41" s="27"/>
      <c r="Y41" s="26"/>
      <c r="Z41" s="26"/>
      <c r="AA41" s="26"/>
      <c r="AB41" s="26">
        <v>0</v>
      </c>
      <c r="AC41" s="26">
        <v>0</v>
      </c>
      <c r="AD41" s="27"/>
      <c r="AE41" s="39"/>
      <c r="AF41" s="39"/>
      <c r="AG41" s="39"/>
      <c r="AH41" s="26">
        <v>10000</v>
      </c>
      <c r="AI41" s="26"/>
      <c r="AJ41" s="26">
        <v>111</v>
      </c>
      <c r="AK41" s="26"/>
      <c r="AL41" s="26">
        <v>42903</v>
      </c>
      <c r="AM41" s="42"/>
      <c r="AN41" s="26">
        <v>0</v>
      </c>
      <c r="AO41" s="26">
        <v>8894</v>
      </c>
      <c r="AP41" s="26">
        <v>51724</v>
      </c>
      <c r="AQ41" s="26">
        <v>-25000</v>
      </c>
      <c r="AR41" s="26">
        <f>2500</f>
        <v>2500</v>
      </c>
      <c r="AS41" s="42">
        <v>27060</v>
      </c>
      <c r="AT41" s="42">
        <v>-8</v>
      </c>
      <c r="AU41" s="42">
        <v>3224</v>
      </c>
      <c r="AV41" s="42"/>
      <c r="AW41" s="27">
        <v>0</v>
      </c>
      <c r="AX41" s="26">
        <v>15000</v>
      </c>
      <c r="AY41" s="70">
        <f>-10000-149</f>
        <v>-10149</v>
      </c>
      <c r="AZ41" s="70"/>
      <c r="BA41" s="26">
        <v>5985</v>
      </c>
      <c r="BB41" s="26">
        <f>-33</f>
        <v>-33</v>
      </c>
      <c r="BC41" s="26"/>
      <c r="BD41" s="39"/>
      <c r="BE41" s="39"/>
      <c r="BF41" s="39"/>
      <c r="BG41" s="27"/>
      <c r="BH41" s="27"/>
      <c r="BI41" s="101"/>
      <c r="BJ41" s="105"/>
      <c r="BK41" s="26"/>
      <c r="BL41" s="101"/>
      <c r="BM41" s="26">
        <v>280022</v>
      </c>
      <c r="BN41" s="26"/>
      <c r="BO41" s="26">
        <v>-7586</v>
      </c>
      <c r="BP41" s="26">
        <v>28062</v>
      </c>
      <c r="BQ41" s="26"/>
      <c r="BR41" s="26">
        <f>-10000-2509</f>
        <v>-12509</v>
      </c>
      <c r="BS41" s="26">
        <v>17525</v>
      </c>
      <c r="BT41" s="26">
        <f>-3000-1000-610</f>
        <v>-4610</v>
      </c>
      <c r="BU41" s="26"/>
      <c r="BV41" s="26">
        <v>23254</v>
      </c>
      <c r="BW41" s="26"/>
      <c r="BX41" s="26"/>
      <c r="BY41" s="26">
        <v>11890</v>
      </c>
      <c r="BZ41" s="26"/>
      <c r="CA41" s="26"/>
      <c r="CB41" s="26">
        <v>19102</v>
      </c>
      <c r="CC41" s="26">
        <v>4247</v>
      </c>
      <c r="CD41" s="26">
        <v>72750</v>
      </c>
      <c r="CE41" s="26"/>
      <c r="CF41" s="26"/>
      <c r="CG41" s="26"/>
      <c r="CH41" s="26">
        <v>30680</v>
      </c>
      <c r="CI41" s="26">
        <v>-392</v>
      </c>
    </row>
    <row r="42" spans="1:93" s="9" customFormat="1" x14ac:dyDescent="0.25">
      <c r="A42" s="11">
        <v>856</v>
      </c>
      <c r="B42" s="53" t="s">
        <v>36</v>
      </c>
      <c r="C42" s="8">
        <f t="shared" si="1"/>
        <v>21239668</v>
      </c>
      <c r="D42" s="27">
        <v>20143311</v>
      </c>
      <c r="E42" s="27">
        <v>0</v>
      </c>
      <c r="F42" s="26">
        <f>3806+333+240+12</f>
        <v>4391</v>
      </c>
      <c r="G42" s="26">
        <v>0</v>
      </c>
      <c r="H42" s="26"/>
      <c r="I42" s="26"/>
      <c r="J42" s="39">
        <v>140658</v>
      </c>
      <c r="K42" s="39">
        <v>0</v>
      </c>
      <c r="L42" s="39">
        <v>6163</v>
      </c>
      <c r="M42" s="42">
        <v>11</v>
      </c>
      <c r="N42" s="26">
        <v>225902</v>
      </c>
      <c r="O42" s="26">
        <v>-201967</v>
      </c>
      <c r="P42" s="105">
        <v>-107716</v>
      </c>
      <c r="Q42" s="39"/>
      <c r="R42" s="26">
        <v>31650</v>
      </c>
      <c r="S42" s="26">
        <v>33791</v>
      </c>
      <c r="T42" s="27"/>
      <c r="U42" s="27"/>
      <c r="V42" s="27"/>
      <c r="W42" s="27"/>
      <c r="X42" s="27"/>
      <c r="Y42" s="26"/>
      <c r="Z42" s="26"/>
      <c r="AA42" s="26"/>
      <c r="AB42" s="26">
        <v>0</v>
      </c>
      <c r="AC42" s="26">
        <v>0</v>
      </c>
      <c r="AD42" s="27"/>
      <c r="AE42" s="39">
        <v>158328</v>
      </c>
      <c r="AF42" s="39"/>
      <c r="AG42" s="39"/>
      <c r="AH42" s="26"/>
      <c r="AI42" s="26"/>
      <c r="AJ42" s="26"/>
      <c r="AK42" s="26"/>
      <c r="AL42" s="26">
        <v>42903</v>
      </c>
      <c r="AM42" s="42"/>
      <c r="AN42" s="26">
        <v>156535</v>
      </c>
      <c r="AO42" s="26">
        <v>7397</v>
      </c>
      <c r="AP42" s="26">
        <v>50599</v>
      </c>
      <c r="AQ42" s="26"/>
      <c r="AR42" s="26">
        <f>10000+4500</f>
        <v>14500</v>
      </c>
      <c r="AS42" s="42"/>
      <c r="AT42" s="42"/>
      <c r="AU42" s="42"/>
      <c r="AV42" s="42"/>
      <c r="AW42" s="27">
        <v>0</v>
      </c>
      <c r="AX42" s="26">
        <v>15000</v>
      </c>
      <c r="AY42" s="70">
        <v>-11136</v>
      </c>
      <c r="AZ42" s="70"/>
      <c r="BA42" s="26">
        <v>17554</v>
      </c>
      <c r="BB42" s="26"/>
      <c r="BC42" s="26"/>
      <c r="BD42" s="39"/>
      <c r="BE42" s="39"/>
      <c r="BF42" s="39"/>
      <c r="BG42" s="27">
        <v>8752</v>
      </c>
      <c r="BH42" s="27"/>
      <c r="BI42" s="101"/>
      <c r="BJ42" s="105"/>
      <c r="BK42" s="26"/>
      <c r="BL42" s="101"/>
      <c r="BM42" s="26"/>
      <c r="BN42" s="26"/>
      <c r="BO42" s="26"/>
      <c r="BP42" s="26">
        <v>45069</v>
      </c>
      <c r="BQ42" s="26"/>
      <c r="BR42" s="26"/>
      <c r="BS42" s="26">
        <v>54498</v>
      </c>
      <c r="BT42" s="26"/>
      <c r="BU42" s="26"/>
      <c r="BV42" s="26">
        <v>67702</v>
      </c>
      <c r="BW42" s="26"/>
      <c r="BX42" s="26"/>
      <c r="BY42" s="26">
        <v>34617</v>
      </c>
      <c r="BZ42" s="26"/>
      <c r="CA42" s="26"/>
      <c r="CB42" s="26">
        <v>19102</v>
      </c>
      <c r="CC42" s="26"/>
      <c r="CD42" s="26">
        <v>211400</v>
      </c>
      <c r="CE42" s="26"/>
      <c r="CF42" s="26"/>
      <c r="CG42" s="26"/>
      <c r="CH42" s="26">
        <v>70654</v>
      </c>
      <c r="CI42" s="26"/>
    </row>
    <row r="43" spans="1:93" s="9" customFormat="1" x14ac:dyDescent="0.25">
      <c r="A43" s="11">
        <v>860</v>
      </c>
      <c r="B43" s="53" t="s">
        <v>37</v>
      </c>
      <c r="C43" s="8">
        <f t="shared" si="1"/>
        <v>7362503</v>
      </c>
      <c r="D43" s="27">
        <v>6085281</v>
      </c>
      <c r="E43" s="27">
        <v>0</v>
      </c>
      <c r="F43" s="26">
        <v>0</v>
      </c>
      <c r="G43" s="26">
        <v>0</v>
      </c>
      <c r="H43" s="26"/>
      <c r="I43" s="26"/>
      <c r="J43" s="39">
        <v>2</v>
      </c>
      <c r="K43" s="39">
        <v>18307</v>
      </c>
      <c r="L43" s="39">
        <v>7324</v>
      </c>
      <c r="M43" s="42">
        <v>56</v>
      </c>
      <c r="N43" s="26">
        <v>48375</v>
      </c>
      <c r="O43" s="26">
        <v>-60432</v>
      </c>
      <c r="P43" s="105">
        <v>-32230</v>
      </c>
      <c r="Q43" s="39"/>
      <c r="R43" s="26"/>
      <c r="S43" s="26"/>
      <c r="T43" s="27"/>
      <c r="U43" s="27"/>
      <c r="V43" s="27"/>
      <c r="W43" s="27"/>
      <c r="X43" s="27"/>
      <c r="Y43" s="26"/>
      <c r="Z43" s="26"/>
      <c r="AA43" s="26"/>
      <c r="AB43" s="26">
        <v>0</v>
      </c>
      <c r="AC43" s="26">
        <v>0</v>
      </c>
      <c r="AD43" s="27">
        <v>22628</v>
      </c>
      <c r="AE43" s="39"/>
      <c r="AF43" s="39"/>
      <c r="AG43" s="39"/>
      <c r="AH43" s="26"/>
      <c r="AI43" s="26"/>
      <c r="AJ43" s="26"/>
      <c r="AK43" s="26">
        <v>412340</v>
      </c>
      <c r="AL43" s="26"/>
      <c r="AM43" s="42">
        <v>167181</v>
      </c>
      <c r="AN43" s="26">
        <v>86845</v>
      </c>
      <c r="AO43" s="26">
        <v>12600</v>
      </c>
      <c r="AP43" s="26">
        <v>47985</v>
      </c>
      <c r="AQ43" s="26">
        <f>-25000-9510-4000</f>
        <v>-38510</v>
      </c>
      <c r="AR43" s="26"/>
      <c r="AS43" s="42"/>
      <c r="AT43" s="42"/>
      <c r="AU43" s="42"/>
      <c r="AV43" s="42"/>
      <c r="AW43" s="27">
        <v>0</v>
      </c>
      <c r="AX43" s="26">
        <v>15000</v>
      </c>
      <c r="AY43" s="70">
        <f>-8720</f>
        <v>-8720</v>
      </c>
      <c r="AZ43" s="70"/>
      <c r="BA43" s="26">
        <v>3529</v>
      </c>
      <c r="BB43" s="26"/>
      <c r="BC43" s="26"/>
      <c r="BD43" s="39"/>
      <c r="BE43" s="39"/>
      <c r="BF43" s="39"/>
      <c r="BG43" s="27">
        <v>2303</v>
      </c>
      <c r="BH43" s="27"/>
      <c r="BI43" s="101"/>
      <c r="BJ43" s="105">
        <v>35000</v>
      </c>
      <c r="BK43" s="26"/>
      <c r="BL43" s="101"/>
      <c r="BM43" s="26">
        <v>355726</v>
      </c>
      <c r="BN43" s="26">
        <v>68689</v>
      </c>
      <c r="BO43" s="26">
        <v>-13909</v>
      </c>
      <c r="BP43" s="26">
        <v>24840</v>
      </c>
      <c r="BQ43" s="26"/>
      <c r="BR43" s="26"/>
      <c r="BS43" s="26">
        <v>10522</v>
      </c>
      <c r="BT43" s="26">
        <f>-7322</f>
        <v>-7322</v>
      </c>
      <c r="BU43" s="26"/>
      <c r="BV43" s="26">
        <v>15159</v>
      </c>
      <c r="BW43" s="26"/>
      <c r="BX43" s="26"/>
      <c r="BY43" s="26">
        <v>7751</v>
      </c>
      <c r="BZ43" s="26"/>
      <c r="CA43" s="26"/>
      <c r="CB43" s="26">
        <v>19102</v>
      </c>
      <c r="CC43" s="26"/>
      <c r="CD43" s="26">
        <v>34886</v>
      </c>
      <c r="CE43" s="26"/>
      <c r="CF43" s="26"/>
      <c r="CG43" s="26"/>
      <c r="CH43" s="26">
        <v>22195</v>
      </c>
      <c r="CI43" s="26"/>
    </row>
    <row r="44" spans="1:93" s="9" customFormat="1" x14ac:dyDescent="0.25">
      <c r="A44" s="11">
        <v>861</v>
      </c>
      <c r="B44" s="53" t="s">
        <v>38</v>
      </c>
      <c r="C44" s="8">
        <f t="shared" si="1"/>
        <v>14161852</v>
      </c>
      <c r="D44" s="27">
        <v>12307332</v>
      </c>
      <c r="E44" s="27">
        <v>0</v>
      </c>
      <c r="F44" s="26">
        <f>963+17160+15791+11853+8800+5418+6435+3679+11000+4727+2888+11000+963+8970</f>
        <v>109647</v>
      </c>
      <c r="G44" s="26">
        <v>1016</v>
      </c>
      <c r="H44" s="26"/>
      <c r="I44" s="26"/>
      <c r="J44" s="39">
        <v>502234</v>
      </c>
      <c r="K44" s="39">
        <v>0</v>
      </c>
      <c r="L44" s="39">
        <v>3658</v>
      </c>
      <c r="M44" s="42">
        <v>297</v>
      </c>
      <c r="N44" s="26">
        <v>135788</v>
      </c>
      <c r="O44" s="26">
        <v>-123091</v>
      </c>
      <c r="P44" s="105">
        <v>-65649</v>
      </c>
      <c r="Q44" s="39"/>
      <c r="R44" s="26">
        <v>12501</v>
      </c>
      <c r="S44" s="26">
        <v>13346</v>
      </c>
      <c r="T44" s="27"/>
      <c r="U44" s="27"/>
      <c r="V44" s="27"/>
      <c r="W44" s="27"/>
      <c r="X44" s="27"/>
      <c r="Y44" s="26"/>
      <c r="Z44" s="26"/>
      <c r="AA44" s="26"/>
      <c r="AB44" s="26">
        <v>0</v>
      </c>
      <c r="AC44" s="26">
        <v>0</v>
      </c>
      <c r="AD44" s="27"/>
      <c r="AE44" s="39">
        <f>52776+79164</f>
        <v>131940</v>
      </c>
      <c r="AF44" s="39"/>
      <c r="AG44" s="39"/>
      <c r="AH44" s="26"/>
      <c r="AI44" s="26"/>
      <c r="AJ44" s="26"/>
      <c r="AK44" s="26"/>
      <c r="AL44" s="26">
        <v>42903</v>
      </c>
      <c r="AM44" s="42"/>
      <c r="AN44" s="26">
        <v>136707</v>
      </c>
      <c r="AO44" s="26">
        <v>10893</v>
      </c>
      <c r="AP44" s="26">
        <v>51724</v>
      </c>
      <c r="AQ44" s="26">
        <f>-20000-2300-396</f>
        <v>-22696</v>
      </c>
      <c r="AR44" s="26"/>
      <c r="AS44" s="42"/>
      <c r="AT44" s="42"/>
      <c r="AU44" s="42"/>
      <c r="AV44" s="42"/>
      <c r="AW44" s="27">
        <v>0</v>
      </c>
      <c r="AX44" s="26">
        <v>15000</v>
      </c>
      <c r="AY44" s="70"/>
      <c r="AZ44" s="70"/>
      <c r="BA44" s="26">
        <v>8730</v>
      </c>
      <c r="BB44" s="26"/>
      <c r="BC44" s="26"/>
      <c r="BD44" s="39"/>
      <c r="BE44" s="39"/>
      <c r="BF44" s="39"/>
      <c r="BG44" s="27">
        <v>6376</v>
      </c>
      <c r="BH44" s="27"/>
      <c r="BI44" s="101"/>
      <c r="BJ44" s="105"/>
      <c r="BK44" s="26">
        <v>20000</v>
      </c>
      <c r="BL44" s="101">
        <v>25000</v>
      </c>
      <c r="BM44" s="26">
        <v>446667</v>
      </c>
      <c r="BN44" s="26"/>
      <c r="BO44" s="26"/>
      <c r="BP44" s="26">
        <v>33052</v>
      </c>
      <c r="BQ44" s="26"/>
      <c r="BR44" s="26"/>
      <c r="BS44" s="26">
        <v>28373</v>
      </c>
      <c r="BT44" s="26"/>
      <c r="BU44" s="26"/>
      <c r="BV44" s="26">
        <v>36921</v>
      </c>
      <c r="BW44" s="26"/>
      <c r="BX44" s="26">
        <v>5000</v>
      </c>
      <c r="BY44" s="26">
        <v>18878</v>
      </c>
      <c r="BZ44" s="26"/>
      <c r="CA44" s="26"/>
      <c r="CB44" s="26">
        <v>19102</v>
      </c>
      <c r="CC44" s="26"/>
      <c r="CD44" s="26">
        <v>210039</v>
      </c>
      <c r="CE44" s="26"/>
      <c r="CF44" s="26"/>
      <c r="CG44" s="26"/>
      <c r="CH44" s="26">
        <v>40164</v>
      </c>
      <c r="CI44" s="26"/>
    </row>
    <row r="45" spans="1:93" s="9" customFormat="1" x14ac:dyDescent="0.25">
      <c r="A45" s="11">
        <v>862</v>
      </c>
      <c r="B45" s="53" t="s">
        <v>39</v>
      </c>
      <c r="C45" s="8">
        <f t="shared" si="1"/>
        <v>51809530</v>
      </c>
      <c r="D45" s="27">
        <v>48836400</v>
      </c>
      <c r="E45" s="27">
        <v>0</v>
      </c>
      <c r="F45" s="26">
        <f>23586+3806+13200+2693+4455+14101+4047+6112+3744+505+671+6179+7777+1452-7269</f>
        <v>85059</v>
      </c>
      <c r="G45" s="26">
        <v>0</v>
      </c>
      <c r="H45" s="26"/>
      <c r="I45" s="26"/>
      <c r="J45" s="39">
        <v>95195</v>
      </c>
      <c r="K45" s="39">
        <v>0</v>
      </c>
      <c r="L45" s="39">
        <v>113</v>
      </c>
      <c r="M45" s="42">
        <v>511189</v>
      </c>
      <c r="N45" s="26">
        <v>597007</v>
      </c>
      <c r="O45" s="26">
        <v>-491362</v>
      </c>
      <c r="P45" s="105">
        <v>-262060</v>
      </c>
      <c r="Q45" s="39"/>
      <c r="R45" s="26">
        <v>105412</v>
      </c>
      <c r="S45" s="26">
        <v>112541</v>
      </c>
      <c r="T45" s="27"/>
      <c r="U45" s="27"/>
      <c r="V45" s="27"/>
      <c r="W45" s="27"/>
      <c r="X45" s="27"/>
      <c r="Y45" s="26"/>
      <c r="Z45" s="26"/>
      <c r="AA45" s="26"/>
      <c r="AB45" s="26">
        <v>0</v>
      </c>
      <c r="AC45" s="26">
        <v>0</v>
      </c>
      <c r="AD45" s="27"/>
      <c r="AE45" s="39">
        <v>158328</v>
      </c>
      <c r="AF45" s="39"/>
      <c r="AG45" s="39"/>
      <c r="AH45" s="26"/>
      <c r="AI45" s="26"/>
      <c r="AJ45" s="26"/>
      <c r="AK45" s="26"/>
      <c r="AL45" s="26"/>
      <c r="AM45" s="42"/>
      <c r="AN45" s="26">
        <v>305069</v>
      </c>
      <c r="AO45" s="26"/>
      <c r="AP45" s="26">
        <v>51724</v>
      </c>
      <c r="AQ45" s="26">
        <v>-16400</v>
      </c>
      <c r="AR45" s="26"/>
      <c r="AS45" s="42">
        <v>26000</v>
      </c>
      <c r="AT45" s="42">
        <v>-2395</v>
      </c>
      <c r="AU45" s="42"/>
      <c r="AV45" s="42"/>
      <c r="AW45" s="27">
        <v>0</v>
      </c>
      <c r="AX45" s="26">
        <v>15000</v>
      </c>
      <c r="AY45" s="70"/>
      <c r="AZ45" s="70"/>
      <c r="BA45" s="26">
        <v>47822</v>
      </c>
      <c r="BB45" s="26">
        <f>-1799</f>
        <v>-1799</v>
      </c>
      <c r="BC45" s="26"/>
      <c r="BD45" s="39">
        <v>756962</v>
      </c>
      <c r="BE45" s="39">
        <v>-85000</v>
      </c>
      <c r="BF45" s="39"/>
      <c r="BG45" s="27">
        <v>18400</v>
      </c>
      <c r="BH45" s="27"/>
      <c r="BI45" s="101"/>
      <c r="BJ45" s="105"/>
      <c r="BK45" s="26"/>
      <c r="BL45" s="101"/>
      <c r="BM45" s="26"/>
      <c r="BN45" s="26"/>
      <c r="BO45" s="26"/>
      <c r="BP45" s="26">
        <v>82629</v>
      </c>
      <c r="BQ45" s="26"/>
      <c r="BR45" s="26">
        <f>-7900</f>
        <v>-7900</v>
      </c>
      <c r="BS45" s="26">
        <v>136151</v>
      </c>
      <c r="BT45" s="26"/>
      <c r="BU45" s="26"/>
      <c r="BV45" s="26">
        <v>173229</v>
      </c>
      <c r="BW45" s="26"/>
      <c r="BX45" s="26"/>
      <c r="BY45" s="26">
        <v>88575</v>
      </c>
      <c r="BZ45" s="26"/>
      <c r="CA45" s="26"/>
      <c r="CB45" s="26">
        <v>19102</v>
      </c>
      <c r="CC45" s="26"/>
      <c r="CD45" s="26">
        <v>279300</v>
      </c>
      <c r="CE45" s="26"/>
      <c r="CF45" s="26"/>
      <c r="CG45" s="26"/>
      <c r="CH45" s="26">
        <v>175239</v>
      </c>
      <c r="CI45" s="26"/>
    </row>
    <row r="46" spans="1:93" s="9" customFormat="1" x14ac:dyDescent="0.25">
      <c r="A46" s="11">
        <v>864</v>
      </c>
      <c r="B46" s="53" t="s">
        <v>40</v>
      </c>
      <c r="C46" s="8">
        <f t="shared" si="1"/>
        <v>20164129</v>
      </c>
      <c r="D46" s="27">
        <v>18685736</v>
      </c>
      <c r="E46" s="27">
        <v>0</v>
      </c>
      <c r="F46" s="26">
        <f>642+440+2200+61+1793+550+551+220</f>
        <v>6457</v>
      </c>
      <c r="G46" s="26">
        <v>0</v>
      </c>
      <c r="H46" s="26"/>
      <c r="I46" s="26"/>
      <c r="J46" s="39">
        <v>242081</v>
      </c>
      <c r="K46" s="39">
        <v>9011</v>
      </c>
      <c r="L46" s="39">
        <v>22526</v>
      </c>
      <c r="M46" s="42">
        <v>262290</v>
      </c>
      <c r="N46" s="26">
        <v>172809</v>
      </c>
      <c r="O46" s="26">
        <v>-187222</v>
      </c>
      <c r="P46" s="105">
        <v>-99852</v>
      </c>
      <c r="Q46" s="39"/>
      <c r="R46" s="26">
        <v>26686</v>
      </c>
      <c r="S46" s="26">
        <v>28490</v>
      </c>
      <c r="T46" s="27"/>
      <c r="U46" s="27"/>
      <c r="V46" s="27"/>
      <c r="W46" s="27"/>
      <c r="X46" s="27"/>
      <c r="Y46" s="26"/>
      <c r="Z46" s="26"/>
      <c r="AA46" s="26"/>
      <c r="AB46" s="26">
        <v>0</v>
      </c>
      <c r="AC46" s="26">
        <v>0</v>
      </c>
      <c r="AD46" s="27">
        <v>16485</v>
      </c>
      <c r="AE46" s="39">
        <v>158328</v>
      </c>
      <c r="AF46" s="39"/>
      <c r="AG46" s="39"/>
      <c r="AH46" s="26"/>
      <c r="AI46" s="26"/>
      <c r="AJ46" s="26"/>
      <c r="AK46" s="26"/>
      <c r="AL46" s="26"/>
      <c r="AM46" s="42"/>
      <c r="AN46" s="26">
        <v>274607</v>
      </c>
      <c r="AO46" s="26">
        <v>3600</v>
      </c>
      <c r="AP46" s="26">
        <v>51724</v>
      </c>
      <c r="AQ46" s="26">
        <f>-20000-12000-5000</f>
        <v>-37000</v>
      </c>
      <c r="AR46" s="26"/>
      <c r="AS46" s="42"/>
      <c r="AT46" s="42"/>
      <c r="AU46" s="42"/>
      <c r="AV46" s="42"/>
      <c r="AW46" s="27">
        <v>0</v>
      </c>
      <c r="AX46" s="26">
        <v>15000</v>
      </c>
      <c r="AY46" s="70">
        <v>-10000</v>
      </c>
      <c r="AZ46" s="70"/>
      <c r="BA46" s="26">
        <v>15277</v>
      </c>
      <c r="BB46" s="26"/>
      <c r="BC46" s="26"/>
      <c r="BD46" s="39"/>
      <c r="BE46" s="39"/>
      <c r="BF46" s="39"/>
      <c r="BG46" s="27">
        <v>17164</v>
      </c>
      <c r="BH46" s="27"/>
      <c r="BI46" s="101"/>
      <c r="BJ46" s="105">
        <v>35000</v>
      </c>
      <c r="BK46" s="26"/>
      <c r="BL46" s="101"/>
      <c r="BM46" s="26"/>
      <c r="BN46" s="26"/>
      <c r="BO46" s="26"/>
      <c r="BP46" s="26">
        <v>43293</v>
      </c>
      <c r="BQ46" s="26"/>
      <c r="BR46" s="26"/>
      <c r="BS46" s="26">
        <v>50636</v>
      </c>
      <c r="BT46" s="26"/>
      <c r="BU46" s="26"/>
      <c r="BV46" s="26">
        <v>63413</v>
      </c>
      <c r="BW46" s="26"/>
      <c r="BX46" s="26"/>
      <c r="BY46" s="26">
        <v>32424</v>
      </c>
      <c r="BZ46" s="26"/>
      <c r="CA46" s="26"/>
      <c r="CB46" s="26">
        <v>19102</v>
      </c>
      <c r="CC46" s="26"/>
      <c r="CD46" s="26">
        <v>183279</v>
      </c>
      <c r="CE46" s="26"/>
      <c r="CF46" s="26"/>
      <c r="CG46" s="26"/>
      <c r="CH46" s="26">
        <v>62785</v>
      </c>
      <c r="CI46" s="26"/>
    </row>
    <row r="47" spans="1:93" s="10" customFormat="1" x14ac:dyDescent="0.25">
      <c r="A47" s="11">
        <v>866</v>
      </c>
      <c r="B47" s="53" t="s">
        <v>41</v>
      </c>
      <c r="C47" s="8">
        <f t="shared" si="1"/>
        <v>22650972</v>
      </c>
      <c r="D47" s="27">
        <v>20005741</v>
      </c>
      <c r="E47" s="27">
        <v>0</v>
      </c>
      <c r="F47" s="27">
        <f>3960+1038+6600+848+246+6719+719+119+634+21120+871-3960+3194-158-166</f>
        <v>41784</v>
      </c>
      <c r="G47" s="27">
        <v>0</v>
      </c>
      <c r="H47" s="27"/>
      <c r="I47" s="27"/>
      <c r="J47" s="39">
        <v>1075597</v>
      </c>
      <c r="K47" s="39">
        <v>7504</v>
      </c>
      <c r="L47" s="39">
        <v>54980</v>
      </c>
      <c r="M47" s="42">
        <v>2</v>
      </c>
      <c r="N47" s="27">
        <v>208320</v>
      </c>
      <c r="O47" s="27">
        <v>-200812</v>
      </c>
      <c r="P47" s="105">
        <v>-107100</v>
      </c>
      <c r="Q47" s="39"/>
      <c r="R47" s="27">
        <v>37058</v>
      </c>
      <c r="S47" s="27">
        <v>39565</v>
      </c>
      <c r="T47" s="27"/>
      <c r="U47" s="27"/>
      <c r="V47" s="27"/>
      <c r="W47" s="27"/>
      <c r="X47" s="27"/>
      <c r="Y47" s="27"/>
      <c r="Z47" s="27"/>
      <c r="AA47" s="27"/>
      <c r="AB47" s="27">
        <v>0</v>
      </c>
      <c r="AC47" s="27">
        <v>0</v>
      </c>
      <c r="AD47" s="27">
        <v>58725</v>
      </c>
      <c r="AE47" s="39"/>
      <c r="AF47" s="39"/>
      <c r="AG47" s="39"/>
      <c r="AH47" s="27"/>
      <c r="AI47" s="27"/>
      <c r="AJ47" s="27"/>
      <c r="AK47" s="27"/>
      <c r="AL47" s="26"/>
      <c r="AM47" s="42">
        <v>496472</v>
      </c>
      <c r="AN47" s="27">
        <v>290798</v>
      </c>
      <c r="AO47" s="27"/>
      <c r="AP47" s="27">
        <v>50259</v>
      </c>
      <c r="AQ47" s="27">
        <f>-1648</f>
        <v>-1648</v>
      </c>
      <c r="AR47" s="27"/>
      <c r="AS47" s="42"/>
      <c r="AT47" s="42"/>
      <c r="AU47" s="42"/>
      <c r="AV47" s="42"/>
      <c r="AW47" s="27">
        <v>0</v>
      </c>
      <c r="AX47" s="26">
        <v>15000</v>
      </c>
      <c r="AY47" s="70"/>
      <c r="AZ47" s="70"/>
      <c r="BA47" s="26">
        <v>15223</v>
      </c>
      <c r="BB47" s="26"/>
      <c r="BC47" s="26"/>
      <c r="BD47" s="39"/>
      <c r="BE47" s="39"/>
      <c r="BF47" s="39"/>
      <c r="BG47" s="27">
        <v>15103</v>
      </c>
      <c r="BH47" s="27"/>
      <c r="BI47" s="101"/>
      <c r="BJ47" s="105">
        <v>35000</v>
      </c>
      <c r="BK47" s="27"/>
      <c r="BL47" s="101"/>
      <c r="BM47" s="27"/>
      <c r="BN47" s="27"/>
      <c r="BO47" s="27"/>
      <c r="BP47" s="27">
        <v>44959</v>
      </c>
      <c r="BQ47" s="27"/>
      <c r="BR47" s="27"/>
      <c r="BS47" s="27">
        <v>54258</v>
      </c>
      <c r="BT47" s="27"/>
      <c r="BU47" s="27"/>
      <c r="BV47" s="27">
        <v>66441</v>
      </c>
      <c r="BW47" s="27"/>
      <c r="BX47" s="27"/>
      <c r="BY47" s="27">
        <v>33972</v>
      </c>
      <c r="BZ47" s="27">
        <f>-22457</f>
        <v>-22457</v>
      </c>
      <c r="CA47" s="27"/>
      <c r="CB47" s="27">
        <v>19102</v>
      </c>
      <c r="CC47" s="27">
        <v>8496</v>
      </c>
      <c r="CD47" s="27">
        <v>246031</v>
      </c>
      <c r="CE47" s="27"/>
      <c r="CF47" s="27"/>
      <c r="CG47" s="27"/>
      <c r="CH47" s="27">
        <v>62599</v>
      </c>
      <c r="CI47" s="27"/>
      <c r="CO47" s="9"/>
    </row>
    <row r="48" spans="1:93" s="9" customFormat="1" x14ac:dyDescent="0.25">
      <c r="A48" s="11">
        <v>868</v>
      </c>
      <c r="B48" s="53" t="s">
        <v>42</v>
      </c>
      <c r="C48" s="8">
        <f t="shared" si="1"/>
        <v>8086195</v>
      </c>
      <c r="D48" s="27">
        <f>6380332+541903</f>
        <v>6922235</v>
      </c>
      <c r="E48" s="27">
        <v>0</v>
      </c>
      <c r="F48" s="26">
        <f>99+80+6674</f>
        <v>6853</v>
      </c>
      <c r="G48" s="26">
        <v>0</v>
      </c>
      <c r="H48" s="26"/>
      <c r="I48" s="26"/>
      <c r="J48" s="39">
        <v>266488</v>
      </c>
      <c r="K48" s="39">
        <v>26742</v>
      </c>
      <c r="L48" s="39">
        <v>2379</v>
      </c>
      <c r="M48" s="42">
        <v>55837</v>
      </c>
      <c r="N48" s="26">
        <v>53347</v>
      </c>
      <c r="O48" s="26">
        <v>-62668</v>
      </c>
      <c r="P48" s="105">
        <v>-33423</v>
      </c>
      <c r="Q48" s="39"/>
      <c r="R48" s="26">
        <v>9220</v>
      </c>
      <c r="S48" s="26">
        <v>9844</v>
      </c>
      <c r="T48" s="27"/>
      <c r="U48" s="27"/>
      <c r="V48" s="27"/>
      <c r="W48" s="27"/>
      <c r="X48" s="27"/>
      <c r="Y48" s="26"/>
      <c r="Z48" s="26"/>
      <c r="AA48" s="26"/>
      <c r="AB48" s="26">
        <v>0</v>
      </c>
      <c r="AC48" s="26">
        <v>0</v>
      </c>
      <c r="AD48" s="27"/>
      <c r="AE48" s="39"/>
      <c r="AF48" s="39"/>
      <c r="AG48" s="39"/>
      <c r="AH48" s="26"/>
      <c r="AI48" s="26"/>
      <c r="AJ48" s="26"/>
      <c r="AK48" s="26"/>
      <c r="AL48" s="26">
        <v>41200</v>
      </c>
      <c r="AM48" s="42"/>
      <c r="AN48" s="26">
        <v>0</v>
      </c>
      <c r="AO48" s="26">
        <v>10000</v>
      </c>
      <c r="AP48" s="26">
        <v>51724</v>
      </c>
      <c r="AQ48" s="26">
        <v>-51724</v>
      </c>
      <c r="AR48" s="26"/>
      <c r="AS48" s="42"/>
      <c r="AT48" s="42"/>
      <c r="AU48" s="42"/>
      <c r="AV48" s="42"/>
      <c r="AW48" s="27">
        <v>0</v>
      </c>
      <c r="AX48" s="26">
        <v>15000</v>
      </c>
      <c r="AY48" s="70"/>
      <c r="AZ48" s="70"/>
      <c r="BA48" s="26">
        <v>3954</v>
      </c>
      <c r="BB48" s="26"/>
      <c r="BC48" s="26"/>
      <c r="BD48" s="39"/>
      <c r="BE48" s="39"/>
      <c r="BF48" s="39"/>
      <c r="BG48" s="27"/>
      <c r="BH48" s="27"/>
      <c r="BI48" s="101"/>
      <c r="BJ48" s="105"/>
      <c r="BK48" s="26"/>
      <c r="BL48" s="101"/>
      <c r="BM48" s="26">
        <v>558249</v>
      </c>
      <c r="BN48" s="26"/>
      <c r="BO48" s="26"/>
      <c r="BP48" s="26">
        <v>26956</v>
      </c>
      <c r="BQ48" s="26"/>
      <c r="BR48" s="26"/>
      <c r="BS48" s="26">
        <v>15122</v>
      </c>
      <c r="BT48" s="26"/>
      <c r="BU48" s="26"/>
      <c r="BV48" s="26">
        <v>16042</v>
      </c>
      <c r="BW48" s="26">
        <f>-3000</f>
        <v>-3000</v>
      </c>
      <c r="BX48" s="26"/>
      <c r="BY48" s="26">
        <v>8203</v>
      </c>
      <c r="BZ48" s="26"/>
      <c r="CA48" s="26"/>
      <c r="CB48" s="26">
        <v>19102</v>
      </c>
      <c r="CC48" s="26">
        <v>12742</v>
      </c>
      <c r="CD48" s="26">
        <v>82110</v>
      </c>
      <c r="CE48" s="26"/>
      <c r="CF48" s="26"/>
      <c r="CG48" s="26"/>
      <c r="CH48" s="26">
        <v>23661</v>
      </c>
      <c r="CI48" s="26"/>
    </row>
    <row r="49" spans="1:93" s="9" customFormat="1" x14ac:dyDescent="0.25">
      <c r="A49" s="11">
        <v>870</v>
      </c>
      <c r="B49" s="53" t="s">
        <v>43</v>
      </c>
      <c r="C49" s="8">
        <f t="shared" si="1"/>
        <v>21636943</v>
      </c>
      <c r="D49" s="27">
        <v>19477662</v>
      </c>
      <c r="E49" s="27">
        <v>0</v>
      </c>
      <c r="F49" s="26">
        <v>0</v>
      </c>
      <c r="G49" s="26">
        <v>0</v>
      </c>
      <c r="H49" s="26"/>
      <c r="I49" s="26"/>
      <c r="J49" s="39">
        <v>268780</v>
      </c>
      <c r="K49" s="39">
        <v>11730</v>
      </c>
      <c r="L49" s="39">
        <v>103740</v>
      </c>
      <c r="M49" s="42">
        <v>107312</v>
      </c>
      <c r="N49" s="26">
        <v>216674</v>
      </c>
      <c r="O49" s="26">
        <v>-195132</v>
      </c>
      <c r="P49" s="105">
        <v>-104070</v>
      </c>
      <c r="Q49" s="39"/>
      <c r="R49" s="26">
        <v>28237</v>
      </c>
      <c r="S49" s="26">
        <v>30147</v>
      </c>
      <c r="T49" s="27"/>
      <c r="U49" s="27"/>
      <c r="V49" s="27"/>
      <c r="W49" s="27"/>
      <c r="X49" s="27"/>
      <c r="Y49" s="26"/>
      <c r="Z49" s="26"/>
      <c r="AA49" s="26"/>
      <c r="AB49" s="26">
        <v>0</v>
      </c>
      <c r="AC49" s="26">
        <v>0</v>
      </c>
      <c r="AD49" s="27"/>
      <c r="AE49" s="39"/>
      <c r="AF49" s="39"/>
      <c r="AG49" s="39"/>
      <c r="AH49" s="26"/>
      <c r="AI49" s="26"/>
      <c r="AJ49" s="26"/>
      <c r="AK49" s="26"/>
      <c r="AL49" s="26">
        <v>42903</v>
      </c>
      <c r="AM49" s="42">
        <v>2153</v>
      </c>
      <c r="AN49" s="26">
        <v>336893</v>
      </c>
      <c r="AO49" s="26"/>
      <c r="AP49" s="26">
        <v>51324</v>
      </c>
      <c r="AQ49" s="26">
        <f>-20000-6291</f>
        <v>-26291</v>
      </c>
      <c r="AR49" s="26"/>
      <c r="AS49" s="42"/>
      <c r="AT49" s="42"/>
      <c r="AU49" s="42"/>
      <c r="AV49" s="42"/>
      <c r="AW49" s="27">
        <v>0</v>
      </c>
      <c r="AX49" s="26">
        <v>15000</v>
      </c>
      <c r="AY49" s="70"/>
      <c r="AZ49" s="70"/>
      <c r="BA49" s="26">
        <v>14194</v>
      </c>
      <c r="BB49" s="26"/>
      <c r="BC49" s="26"/>
      <c r="BD49" s="39"/>
      <c r="BE49" s="39"/>
      <c r="BF49" s="39"/>
      <c r="BG49" s="27">
        <v>15225</v>
      </c>
      <c r="BH49" s="27"/>
      <c r="BI49" s="101"/>
      <c r="BJ49" s="105"/>
      <c r="BK49" s="26"/>
      <c r="BL49" s="101"/>
      <c r="BM49" s="26">
        <v>575000</v>
      </c>
      <c r="BN49" s="26"/>
      <c r="BO49" s="26"/>
      <c r="BP49" s="26">
        <v>41374</v>
      </c>
      <c r="BQ49" s="26"/>
      <c r="BR49" s="26"/>
      <c r="BS49" s="26">
        <v>46465</v>
      </c>
      <c r="BT49" s="26"/>
      <c r="BU49" s="26"/>
      <c r="BV49" s="26">
        <v>69342</v>
      </c>
      <c r="BW49" s="26"/>
      <c r="BX49" s="26"/>
      <c r="BY49" s="26">
        <v>35456</v>
      </c>
      <c r="BZ49" s="26"/>
      <c r="CA49" s="26"/>
      <c r="CB49" s="26">
        <v>19102</v>
      </c>
      <c r="CC49" s="26"/>
      <c r="CD49" s="26">
        <v>394679</v>
      </c>
      <c r="CE49" s="26"/>
      <c r="CF49" s="26"/>
      <c r="CG49" s="26"/>
      <c r="CH49" s="26">
        <v>59044</v>
      </c>
      <c r="CI49" s="26"/>
    </row>
    <row r="50" spans="1:93" s="10" customFormat="1" x14ac:dyDescent="0.25">
      <c r="A50" s="11">
        <v>872</v>
      </c>
      <c r="B50" s="53" t="s">
        <v>44</v>
      </c>
      <c r="C50" s="8">
        <f t="shared" si="1"/>
        <v>14270469</v>
      </c>
      <c r="D50" s="27">
        <v>12916463</v>
      </c>
      <c r="E50" s="27">
        <v>0</v>
      </c>
      <c r="F50" s="27">
        <f>40+7524+10192+9900+15891</f>
        <v>43547</v>
      </c>
      <c r="G50" s="27">
        <v>0</v>
      </c>
      <c r="H50" s="27"/>
      <c r="I50" s="27"/>
      <c r="J50" s="39">
        <v>146978</v>
      </c>
      <c r="K50" s="39">
        <v>2646</v>
      </c>
      <c r="L50" s="39">
        <v>38046</v>
      </c>
      <c r="M50" s="42">
        <v>0</v>
      </c>
      <c r="N50" s="27">
        <v>134841</v>
      </c>
      <c r="O50" s="27">
        <v>-129262</v>
      </c>
      <c r="P50" s="105">
        <v>-68940</v>
      </c>
      <c r="Q50" s="39"/>
      <c r="R50" s="27">
        <v>14939</v>
      </c>
      <c r="S50" s="27">
        <v>15949</v>
      </c>
      <c r="T50" s="27"/>
      <c r="U50" s="27"/>
      <c r="V50" s="27"/>
      <c r="W50" s="27"/>
      <c r="X50" s="27"/>
      <c r="Y50" s="27"/>
      <c r="Z50" s="27"/>
      <c r="AA50" s="27"/>
      <c r="AB50" s="27">
        <v>0</v>
      </c>
      <c r="AC50" s="27">
        <v>0</v>
      </c>
      <c r="AD50" s="27">
        <v>11365</v>
      </c>
      <c r="AE50" s="39">
        <v>79164</v>
      </c>
      <c r="AF50" s="39"/>
      <c r="AG50" s="39"/>
      <c r="AH50" s="27"/>
      <c r="AI50" s="27"/>
      <c r="AJ50" s="27"/>
      <c r="AK50" s="27"/>
      <c r="AL50" s="26"/>
      <c r="AM50" s="42"/>
      <c r="AN50" s="27">
        <v>132879</v>
      </c>
      <c r="AO50" s="27"/>
      <c r="AP50" s="27">
        <v>51724</v>
      </c>
      <c r="AQ50" s="27">
        <f>-2000-1324</f>
        <v>-3324</v>
      </c>
      <c r="AR50" s="27"/>
      <c r="AS50" s="42"/>
      <c r="AT50" s="42"/>
      <c r="AU50" s="42"/>
      <c r="AV50" s="42"/>
      <c r="AW50" s="27">
        <v>0</v>
      </c>
      <c r="AX50" s="26">
        <v>15000</v>
      </c>
      <c r="AY50" s="70">
        <v>-7000</v>
      </c>
      <c r="AZ50" s="70"/>
      <c r="BA50" s="26">
        <v>10499</v>
      </c>
      <c r="BB50" s="26">
        <v>-10499</v>
      </c>
      <c r="BC50" s="26"/>
      <c r="BD50" s="39"/>
      <c r="BE50" s="39"/>
      <c r="BF50" s="39"/>
      <c r="BG50" s="27">
        <v>7612</v>
      </c>
      <c r="BH50" s="27"/>
      <c r="BI50" s="101"/>
      <c r="BJ50" s="105">
        <v>35000</v>
      </c>
      <c r="BK50" s="27"/>
      <c r="BL50" s="101"/>
      <c r="BM50" s="27">
        <v>512746</v>
      </c>
      <c r="BN50" s="27"/>
      <c r="BO50" s="27"/>
      <c r="BP50" s="27">
        <v>34299</v>
      </c>
      <c r="BQ50" s="27"/>
      <c r="BR50" s="27">
        <f>-1000</f>
        <v>-1000</v>
      </c>
      <c r="BS50" s="27">
        <v>31085</v>
      </c>
      <c r="BT50" s="27">
        <f>-17000</f>
        <v>-17000</v>
      </c>
      <c r="BU50" s="27"/>
      <c r="BV50" s="27">
        <v>40432</v>
      </c>
      <c r="BW50" s="27"/>
      <c r="BX50" s="27">
        <v>43591</v>
      </c>
      <c r="BY50" s="27">
        <v>20674</v>
      </c>
      <c r="BZ50" s="27">
        <f>-5000</f>
        <v>-5000</v>
      </c>
      <c r="CA50" s="27"/>
      <c r="CB50" s="27">
        <v>19102</v>
      </c>
      <c r="CC50" s="27"/>
      <c r="CD50" s="27">
        <v>107636</v>
      </c>
      <c r="CE50" s="27"/>
      <c r="CF50" s="27"/>
      <c r="CG50" s="27"/>
      <c r="CH50" s="27">
        <v>46277</v>
      </c>
      <c r="CI50" s="27"/>
      <c r="CO50" s="9"/>
    </row>
    <row r="51" spans="1:93" s="9" customFormat="1" x14ac:dyDescent="0.25">
      <c r="A51" s="11">
        <v>874</v>
      </c>
      <c r="B51" s="53" t="s">
        <v>45</v>
      </c>
      <c r="C51" s="8">
        <f t="shared" si="1"/>
        <v>49435810</v>
      </c>
      <c r="D51" s="27">
        <v>47567874</v>
      </c>
      <c r="E51" s="27">
        <v>0</v>
      </c>
      <c r="F51" s="26">
        <f>2180+7162+16597+13200+41140+1694-9540+1980+3740+17854+6767-19800-17854+9328+19842+29764+2987-24075+17934</f>
        <v>120900</v>
      </c>
      <c r="G51" s="26">
        <v>7841</v>
      </c>
      <c r="H51" s="26"/>
      <c r="I51" s="26">
        <v>1000</v>
      </c>
      <c r="J51" s="39">
        <v>0</v>
      </c>
      <c r="K51" s="39">
        <v>1191</v>
      </c>
      <c r="L51" s="39">
        <v>193873</v>
      </c>
      <c r="M51" s="42">
        <v>6411</v>
      </c>
      <c r="N51" s="26">
        <v>290852</v>
      </c>
      <c r="O51" s="26">
        <v>-447337</v>
      </c>
      <c r="P51" s="105">
        <v>-238580</v>
      </c>
      <c r="Q51" s="39"/>
      <c r="R51" s="26">
        <v>52618</v>
      </c>
      <c r="S51" s="26"/>
      <c r="T51" s="27"/>
      <c r="U51" s="27"/>
      <c r="V51" s="27"/>
      <c r="W51" s="27"/>
      <c r="X51" s="27"/>
      <c r="Y51" s="26"/>
      <c r="Z51" s="26"/>
      <c r="AA51" s="26"/>
      <c r="AB51" s="26">
        <v>0</v>
      </c>
      <c r="AC51" s="26">
        <v>0</v>
      </c>
      <c r="AD51" s="27"/>
      <c r="AE51" s="39">
        <v>158328</v>
      </c>
      <c r="AF51" s="39">
        <f>39582</f>
        <v>39582</v>
      </c>
      <c r="AG51" s="39"/>
      <c r="AH51" s="26"/>
      <c r="AI51" s="26"/>
      <c r="AJ51" s="26"/>
      <c r="AK51" s="26"/>
      <c r="AL51" s="26"/>
      <c r="AM51" s="42"/>
      <c r="AN51" s="26">
        <v>499634</v>
      </c>
      <c r="AO51" s="26"/>
      <c r="AP51" s="26">
        <v>51724</v>
      </c>
      <c r="AQ51" s="26">
        <f>-3000-3337</f>
        <v>-6337</v>
      </c>
      <c r="AR51" s="26">
        <v>12000</v>
      </c>
      <c r="AS51" s="42"/>
      <c r="AT51" s="42"/>
      <c r="AU51" s="42"/>
      <c r="AV51" s="42"/>
      <c r="AW51" s="27">
        <v>0</v>
      </c>
      <c r="AX51" s="26">
        <v>15000</v>
      </c>
      <c r="AY51" s="70"/>
      <c r="AZ51" s="70"/>
      <c r="BA51" s="26">
        <v>36945</v>
      </c>
      <c r="BB51" s="26"/>
      <c r="BC51" s="26"/>
      <c r="BD51" s="39"/>
      <c r="BE51" s="39"/>
      <c r="BF51" s="39"/>
      <c r="BG51" s="27">
        <v>25285</v>
      </c>
      <c r="BH51" s="27"/>
      <c r="BI51" s="101"/>
      <c r="BJ51" s="105"/>
      <c r="BK51" s="26"/>
      <c r="BL51" s="101"/>
      <c r="BM51" s="26"/>
      <c r="BN51" s="26"/>
      <c r="BO51" s="26"/>
      <c r="BP51" s="26">
        <v>74662</v>
      </c>
      <c r="BQ51" s="26"/>
      <c r="BR51" s="26"/>
      <c r="BS51" s="26">
        <v>118831</v>
      </c>
      <c r="BT51" s="26"/>
      <c r="BU51" s="26"/>
      <c r="BV51" s="26">
        <v>154159</v>
      </c>
      <c r="BW51" s="26"/>
      <c r="BX51" s="26"/>
      <c r="BY51" s="26">
        <v>78825</v>
      </c>
      <c r="BZ51" s="26"/>
      <c r="CA51" s="26"/>
      <c r="CB51" s="26">
        <v>0</v>
      </c>
      <c r="CC51" s="26"/>
      <c r="CD51" s="26">
        <v>482873</v>
      </c>
      <c r="CE51" s="26"/>
      <c r="CF51" s="26"/>
      <c r="CG51" s="26"/>
      <c r="CH51" s="26">
        <v>137656</v>
      </c>
      <c r="CI51" s="26"/>
    </row>
    <row r="52" spans="1:93" s="9" customFormat="1" x14ac:dyDescent="0.25">
      <c r="A52" s="11">
        <v>876</v>
      </c>
      <c r="B52" s="53" t="s">
        <v>46</v>
      </c>
      <c r="C52" s="8">
        <f t="shared" si="1"/>
        <v>15991414</v>
      </c>
      <c r="D52" s="27">
        <v>14344804</v>
      </c>
      <c r="E52" s="27">
        <v>0</v>
      </c>
      <c r="F52" s="26">
        <v>0</v>
      </c>
      <c r="G52" s="26">
        <v>0</v>
      </c>
      <c r="H52" s="26">
        <f>-2700</f>
        <v>-2700</v>
      </c>
      <c r="I52" s="26"/>
      <c r="J52" s="39">
        <v>107284</v>
      </c>
      <c r="K52" s="39">
        <v>9238</v>
      </c>
      <c r="L52" s="39">
        <v>161404</v>
      </c>
      <c r="M52" s="42">
        <v>84300</v>
      </c>
      <c r="N52" s="26">
        <v>147024</v>
      </c>
      <c r="O52" s="26">
        <v>-143680</v>
      </c>
      <c r="P52" s="105">
        <v>-76629</v>
      </c>
      <c r="Q52" s="39"/>
      <c r="R52" s="26">
        <v>17155</v>
      </c>
      <c r="S52" s="26">
        <v>18315</v>
      </c>
      <c r="T52" s="27"/>
      <c r="U52" s="27"/>
      <c r="V52" s="27"/>
      <c r="W52" s="27"/>
      <c r="X52" s="27"/>
      <c r="Y52" s="26"/>
      <c r="Z52" s="26"/>
      <c r="AA52" s="26"/>
      <c r="AB52" s="26">
        <v>0</v>
      </c>
      <c r="AC52" s="26">
        <v>0</v>
      </c>
      <c r="AD52" s="27"/>
      <c r="AE52" s="39"/>
      <c r="AF52" s="39">
        <f>158328</f>
        <v>158328</v>
      </c>
      <c r="AG52" s="39"/>
      <c r="AH52" s="26"/>
      <c r="AI52" s="26"/>
      <c r="AJ52" s="26"/>
      <c r="AK52" s="26"/>
      <c r="AL52" s="26">
        <v>42903</v>
      </c>
      <c r="AM52" s="42">
        <v>54582</v>
      </c>
      <c r="AN52" s="26">
        <v>352437</v>
      </c>
      <c r="AO52" s="26">
        <v>9000</v>
      </c>
      <c r="AP52" s="26">
        <v>51529</v>
      </c>
      <c r="AQ52" s="26">
        <f>-10000-3523</f>
        <v>-13523</v>
      </c>
      <c r="AR52" s="26"/>
      <c r="AS52" s="42"/>
      <c r="AT52" s="42"/>
      <c r="AU52" s="42"/>
      <c r="AV52" s="42"/>
      <c r="AW52" s="27">
        <v>0</v>
      </c>
      <c r="AX52" s="26">
        <v>15000</v>
      </c>
      <c r="AY52" s="70">
        <v>-12600</v>
      </c>
      <c r="AZ52" s="70"/>
      <c r="BA52" s="26">
        <v>10693</v>
      </c>
      <c r="BB52" s="26"/>
      <c r="BC52" s="26"/>
      <c r="BD52" s="39"/>
      <c r="BE52" s="39"/>
      <c r="BF52" s="39"/>
      <c r="BG52" s="27">
        <v>16582</v>
      </c>
      <c r="BH52" s="27"/>
      <c r="BI52" s="101"/>
      <c r="BJ52" s="105"/>
      <c r="BK52" s="26">
        <v>20000</v>
      </c>
      <c r="BL52" s="101">
        <v>25000</v>
      </c>
      <c r="BM52" s="26">
        <v>265538</v>
      </c>
      <c r="BN52" s="26"/>
      <c r="BO52" s="26">
        <v>-2719</v>
      </c>
      <c r="BP52" s="26">
        <v>36793</v>
      </c>
      <c r="BQ52" s="26"/>
      <c r="BR52" s="26">
        <f>-27849</f>
        <v>-27849</v>
      </c>
      <c r="BS52" s="26">
        <v>37436</v>
      </c>
      <c r="BT52" s="26">
        <f>-25249</f>
        <v>-25249</v>
      </c>
      <c r="BU52" s="26"/>
      <c r="BV52" s="26">
        <v>47265</v>
      </c>
      <c r="BW52" s="26"/>
      <c r="BX52" s="26"/>
      <c r="BY52" s="26">
        <v>24168</v>
      </c>
      <c r="BZ52" s="26"/>
      <c r="CA52" s="26"/>
      <c r="CB52" s="26">
        <v>19102</v>
      </c>
      <c r="CC52" s="26"/>
      <c r="CD52" s="26">
        <v>173536</v>
      </c>
      <c r="CE52" s="26"/>
      <c r="CF52" s="26"/>
      <c r="CG52" s="26"/>
      <c r="CH52" s="26">
        <v>46947</v>
      </c>
      <c r="CI52" s="26"/>
    </row>
    <row r="53" spans="1:93" s="9" customFormat="1" x14ac:dyDescent="0.25">
      <c r="A53" s="11">
        <v>878</v>
      </c>
      <c r="B53" s="53" t="s">
        <v>47</v>
      </c>
      <c r="C53" s="8">
        <f t="shared" si="1"/>
        <v>26344958</v>
      </c>
      <c r="D53" s="27">
        <v>25603606</v>
      </c>
      <c r="E53" s="27">
        <v>0</v>
      </c>
      <c r="F53" s="26">
        <f>330+50+580+385+6700+8220-103+426</f>
        <v>16588</v>
      </c>
      <c r="G53" s="26">
        <v>0</v>
      </c>
      <c r="H53" s="26"/>
      <c r="I53" s="26">
        <f>4000</f>
        <v>4000</v>
      </c>
      <c r="J53" s="39">
        <v>417</v>
      </c>
      <c r="K53" s="39">
        <v>0</v>
      </c>
      <c r="L53" s="39">
        <v>0</v>
      </c>
      <c r="M53" s="42">
        <v>2</v>
      </c>
      <c r="N53" s="26">
        <v>309542</v>
      </c>
      <c r="O53" s="26">
        <v>-258432</v>
      </c>
      <c r="P53" s="105">
        <v>-137831</v>
      </c>
      <c r="Q53" s="39"/>
      <c r="R53" s="26">
        <v>28459</v>
      </c>
      <c r="S53" s="26">
        <v>30383</v>
      </c>
      <c r="T53" s="27"/>
      <c r="U53" s="27"/>
      <c r="V53" s="27"/>
      <c r="W53" s="27"/>
      <c r="X53" s="27"/>
      <c r="Y53" s="26"/>
      <c r="Z53" s="26"/>
      <c r="AA53" s="26"/>
      <c r="AB53" s="26">
        <v>0</v>
      </c>
      <c r="AC53" s="26">
        <v>0</v>
      </c>
      <c r="AD53" s="27"/>
      <c r="AE53" s="39"/>
      <c r="AF53" s="39"/>
      <c r="AG53" s="39"/>
      <c r="AH53" s="26"/>
      <c r="AI53" s="26"/>
      <c r="AJ53" s="26"/>
      <c r="AK53" s="26"/>
      <c r="AL53" s="26"/>
      <c r="AM53" s="42"/>
      <c r="AN53" s="26">
        <v>180044</v>
      </c>
      <c r="AO53" s="26"/>
      <c r="AP53" s="26">
        <v>51724</v>
      </c>
      <c r="AQ53" s="26">
        <f>-35000-110</f>
        <v>-35110</v>
      </c>
      <c r="AR53" s="26"/>
      <c r="AS53" s="42"/>
      <c r="AT53" s="42"/>
      <c r="AU53" s="42"/>
      <c r="AV53" s="42"/>
      <c r="AW53" s="27">
        <v>0</v>
      </c>
      <c r="AX53" s="26">
        <v>15000</v>
      </c>
      <c r="AY53" s="70">
        <v>-10000</v>
      </c>
      <c r="AZ53" s="70"/>
      <c r="BA53" s="26">
        <v>23320</v>
      </c>
      <c r="BB53" s="26"/>
      <c r="BC53" s="26"/>
      <c r="BD53" s="39"/>
      <c r="BE53" s="39"/>
      <c r="BF53" s="39"/>
      <c r="BG53" s="27">
        <v>12606</v>
      </c>
      <c r="BH53" s="27"/>
      <c r="BI53" s="101"/>
      <c r="BJ53" s="105"/>
      <c r="BK53" s="26"/>
      <c r="BL53" s="101"/>
      <c r="BM53" s="26"/>
      <c r="BN53" s="26"/>
      <c r="BO53" s="26"/>
      <c r="BP53" s="26">
        <v>52483</v>
      </c>
      <c r="BQ53" s="26"/>
      <c r="BR53" s="26"/>
      <c r="BS53" s="26">
        <v>70616</v>
      </c>
      <c r="BT53" s="26">
        <v>-60000</v>
      </c>
      <c r="BU53" s="26"/>
      <c r="BV53" s="26">
        <v>88749</v>
      </c>
      <c r="BW53" s="26"/>
      <c r="BX53" s="26"/>
      <c r="BY53" s="26">
        <v>45379</v>
      </c>
      <c r="BZ53" s="26"/>
      <c r="CA53" s="26"/>
      <c r="CB53" s="26">
        <v>14371</v>
      </c>
      <c r="CC53" s="26"/>
      <c r="CD53" s="26">
        <v>208465</v>
      </c>
      <c r="CE53" s="26"/>
      <c r="CF53" s="26"/>
      <c r="CG53" s="26"/>
      <c r="CH53" s="26">
        <v>90577</v>
      </c>
      <c r="CI53" s="26"/>
    </row>
    <row r="54" spans="1:93" s="9" customFormat="1" x14ac:dyDescent="0.25">
      <c r="A54" s="11">
        <v>800</v>
      </c>
      <c r="B54" s="53" t="s">
        <v>48</v>
      </c>
      <c r="C54" s="8">
        <f t="shared" si="1"/>
        <v>21319512</v>
      </c>
      <c r="D54" s="27">
        <v>19561601</v>
      </c>
      <c r="E54" s="27">
        <v>0</v>
      </c>
      <c r="F54" s="26">
        <f>6715+360+2763+3753+62+220+14518+150+6908+4712+120+10267+36683+211+611+342+198+708+629+1840+41+2750</f>
        <v>94561</v>
      </c>
      <c r="G54" s="26">
        <v>1827</v>
      </c>
      <c r="H54" s="26">
        <v>-1000</v>
      </c>
      <c r="I54" s="26"/>
      <c r="J54" s="39">
        <v>4</v>
      </c>
      <c r="K54" s="39">
        <v>2642</v>
      </c>
      <c r="L54" s="39">
        <v>408</v>
      </c>
      <c r="M54" s="42">
        <v>948</v>
      </c>
      <c r="N54" s="26">
        <v>135458</v>
      </c>
      <c r="O54" s="26">
        <v>-197266</v>
      </c>
      <c r="P54" s="105">
        <v>-105208</v>
      </c>
      <c r="Q54" s="39"/>
      <c r="R54" s="26">
        <v>17199</v>
      </c>
      <c r="S54" s="26">
        <v>18363</v>
      </c>
      <c r="T54" s="27"/>
      <c r="U54" s="27"/>
      <c r="V54" s="27"/>
      <c r="W54" s="27"/>
      <c r="X54" s="27"/>
      <c r="Y54" s="26"/>
      <c r="Z54" s="26"/>
      <c r="AA54" s="26"/>
      <c r="AB54" s="26">
        <v>0</v>
      </c>
      <c r="AC54" s="26">
        <v>0</v>
      </c>
      <c r="AD54" s="27">
        <v>23387</v>
      </c>
      <c r="AE54" s="39">
        <v>39582</v>
      </c>
      <c r="AF54" s="39">
        <f>79164</f>
        <v>79164</v>
      </c>
      <c r="AG54" s="39">
        <v>79164</v>
      </c>
      <c r="AH54" s="26"/>
      <c r="AI54" s="26"/>
      <c r="AJ54" s="26"/>
      <c r="AK54" s="26"/>
      <c r="AL54" s="26"/>
      <c r="AM54" s="42">
        <v>46644</v>
      </c>
      <c r="AN54" s="26">
        <v>240821</v>
      </c>
      <c r="AO54" s="26"/>
      <c r="AP54" s="26">
        <v>51724</v>
      </c>
      <c r="AQ54" s="26">
        <f>-351</f>
        <v>-351</v>
      </c>
      <c r="AR54" s="26"/>
      <c r="AS54" s="42"/>
      <c r="AT54" s="42"/>
      <c r="AU54" s="42"/>
      <c r="AV54" s="42"/>
      <c r="AW54" s="27">
        <v>0</v>
      </c>
      <c r="AX54" s="26">
        <v>15000</v>
      </c>
      <c r="AY54" s="70">
        <v>-5000</v>
      </c>
      <c r="AZ54" s="70"/>
      <c r="BA54" s="26">
        <v>16224</v>
      </c>
      <c r="BB54" s="26"/>
      <c r="BC54" s="26"/>
      <c r="BD54" s="39"/>
      <c r="BE54" s="39"/>
      <c r="BF54" s="39"/>
      <c r="BG54" s="27">
        <v>21649</v>
      </c>
      <c r="BH54" s="27"/>
      <c r="BI54" s="101"/>
      <c r="BJ54" s="105">
        <v>35000</v>
      </c>
      <c r="BK54" s="26"/>
      <c r="BL54" s="101"/>
      <c r="BM54" s="26">
        <v>468495</v>
      </c>
      <c r="BN54" s="26">
        <f>42093+40040</f>
        <v>82133</v>
      </c>
      <c r="BO54" s="26">
        <v>-6914</v>
      </c>
      <c r="BP54" s="26">
        <v>41555</v>
      </c>
      <c r="BQ54" s="26"/>
      <c r="BR54" s="26"/>
      <c r="BS54" s="26">
        <v>46860</v>
      </c>
      <c r="BT54" s="26"/>
      <c r="BU54" s="26"/>
      <c r="BV54" s="26">
        <v>64044</v>
      </c>
      <c r="BW54" s="26"/>
      <c r="BX54" s="26"/>
      <c r="BY54" s="26">
        <v>32747</v>
      </c>
      <c r="BZ54" s="26"/>
      <c r="CA54" s="26"/>
      <c r="CB54" s="26">
        <v>19102</v>
      </c>
      <c r="CC54" s="26">
        <v>14360</v>
      </c>
      <c r="CD54" s="26">
        <v>318526</v>
      </c>
      <c r="CE54" s="26"/>
      <c r="CF54" s="26"/>
      <c r="CG54" s="26"/>
      <c r="CH54" s="26">
        <v>66059</v>
      </c>
      <c r="CI54" s="26"/>
    </row>
    <row r="55" spans="1:93" s="9" customFormat="1" x14ac:dyDescent="0.25">
      <c r="A55" s="11">
        <v>880</v>
      </c>
      <c r="B55" s="53" t="s">
        <v>49</v>
      </c>
      <c r="C55" s="8">
        <f t="shared" si="1"/>
        <v>15875572</v>
      </c>
      <c r="D55" s="27">
        <v>14181958</v>
      </c>
      <c r="E55" s="27">
        <v>0</v>
      </c>
      <c r="F55" s="26">
        <f>100+396+1014+125+371-205+63</f>
        <v>1864</v>
      </c>
      <c r="G55" s="26">
        <v>0</v>
      </c>
      <c r="H55" s="26"/>
      <c r="I55" s="26"/>
      <c r="J55" s="39">
        <v>261907</v>
      </c>
      <c r="K55" s="39">
        <v>40156</v>
      </c>
      <c r="L55" s="39">
        <v>0</v>
      </c>
      <c r="M55" s="42">
        <v>10</v>
      </c>
      <c r="N55" s="26">
        <v>190793</v>
      </c>
      <c r="O55" s="26">
        <v>-141795</v>
      </c>
      <c r="P55" s="105">
        <v>-75624</v>
      </c>
      <c r="Q55" s="39"/>
      <c r="R55" s="26">
        <v>17731</v>
      </c>
      <c r="S55" s="26">
        <v>18930</v>
      </c>
      <c r="T55" s="27"/>
      <c r="U55" s="27"/>
      <c r="V55" s="27"/>
      <c r="W55" s="27"/>
      <c r="X55" s="27"/>
      <c r="Y55" s="26"/>
      <c r="Z55" s="26"/>
      <c r="AA55" s="26"/>
      <c r="AB55" s="26">
        <v>0</v>
      </c>
      <c r="AC55" s="26">
        <v>0</v>
      </c>
      <c r="AD55" s="27"/>
      <c r="AE55" s="39">
        <v>79164</v>
      </c>
      <c r="AF55" s="39"/>
      <c r="AG55" s="39"/>
      <c r="AH55" s="26"/>
      <c r="AI55" s="26">
        <v>108629</v>
      </c>
      <c r="AJ55" s="26"/>
      <c r="AK55" s="26"/>
      <c r="AL55" s="26"/>
      <c r="AM55" s="42"/>
      <c r="AN55" s="26">
        <v>266814</v>
      </c>
      <c r="AO55" s="26">
        <v>8078</v>
      </c>
      <c r="AP55" s="26">
        <v>51724</v>
      </c>
      <c r="AQ55" s="26">
        <f>-25000-2049</f>
        <v>-27049</v>
      </c>
      <c r="AR55" s="26"/>
      <c r="AS55" s="42"/>
      <c r="AT55" s="42"/>
      <c r="AU55" s="42"/>
      <c r="AV55" s="42"/>
      <c r="AW55" s="27">
        <v>0</v>
      </c>
      <c r="AX55" s="26">
        <v>15000</v>
      </c>
      <c r="AY55" s="70"/>
      <c r="AZ55" s="70"/>
      <c r="BA55" s="26">
        <v>9131</v>
      </c>
      <c r="BB55" s="26"/>
      <c r="BC55" s="26"/>
      <c r="BD55" s="39"/>
      <c r="BE55" s="39"/>
      <c r="BF55" s="39"/>
      <c r="BG55" s="27">
        <v>16194</v>
      </c>
      <c r="BH55" s="27"/>
      <c r="BI55" s="101"/>
      <c r="BJ55" s="105"/>
      <c r="BK55" s="26"/>
      <c r="BL55" s="101"/>
      <c r="BM55" s="26">
        <v>427795</v>
      </c>
      <c r="BN55" s="26">
        <f>8322</f>
        <v>8322</v>
      </c>
      <c r="BO55" s="26"/>
      <c r="BP55" s="26">
        <v>38168</v>
      </c>
      <c r="BQ55" s="26"/>
      <c r="BR55" s="26">
        <f>-1350-525</f>
        <v>-1875</v>
      </c>
      <c r="BS55" s="26">
        <v>39496</v>
      </c>
      <c r="BT55" s="26">
        <v>-5000</v>
      </c>
      <c r="BU55" s="26"/>
      <c r="BV55" s="26">
        <v>48737</v>
      </c>
      <c r="BW55" s="26"/>
      <c r="BX55" s="26"/>
      <c r="BY55" s="26">
        <v>24920</v>
      </c>
      <c r="BZ55" s="26"/>
      <c r="CA55" s="26"/>
      <c r="CB55" s="26">
        <v>19102</v>
      </c>
      <c r="CC55" s="26">
        <v>4150</v>
      </c>
      <c r="CD55" s="26">
        <v>206593</v>
      </c>
      <c r="CE55" s="26"/>
      <c r="CF55" s="26"/>
      <c r="CG55" s="26"/>
      <c r="CH55" s="26">
        <v>41549</v>
      </c>
      <c r="CI55" s="26"/>
    </row>
    <row r="56" spans="1:93" s="9" customFormat="1" x14ac:dyDescent="0.25">
      <c r="A56" s="11">
        <v>882</v>
      </c>
      <c r="B56" s="53" t="s">
        <v>50</v>
      </c>
      <c r="C56" s="8">
        <f t="shared" si="1"/>
        <v>18763750</v>
      </c>
      <c r="D56" s="27">
        <v>17694827</v>
      </c>
      <c r="E56" s="27">
        <v>0</v>
      </c>
      <c r="F56" s="26">
        <f>714+6706</f>
        <v>7420</v>
      </c>
      <c r="G56" s="26">
        <v>0</v>
      </c>
      <c r="H56" s="26"/>
      <c r="I56" s="26"/>
      <c r="J56" s="39">
        <v>56824</v>
      </c>
      <c r="K56" s="39">
        <v>0</v>
      </c>
      <c r="L56" s="39">
        <v>47110</v>
      </c>
      <c r="M56" s="42">
        <v>217154</v>
      </c>
      <c r="N56" s="26">
        <v>166552</v>
      </c>
      <c r="O56" s="26">
        <v>-177271</v>
      </c>
      <c r="P56" s="105">
        <v>-94544</v>
      </c>
      <c r="Q56" s="39"/>
      <c r="R56" s="26">
        <v>25311</v>
      </c>
      <c r="S56" s="26">
        <v>27023</v>
      </c>
      <c r="T56" s="27"/>
      <c r="U56" s="27"/>
      <c r="V56" s="27"/>
      <c r="W56" s="27"/>
      <c r="X56" s="27"/>
      <c r="Y56" s="26"/>
      <c r="Z56" s="26"/>
      <c r="AA56" s="26"/>
      <c r="AB56" s="26">
        <v>0</v>
      </c>
      <c r="AC56" s="26">
        <v>0</v>
      </c>
      <c r="AD56" s="27"/>
      <c r="AE56" s="39"/>
      <c r="AF56" s="39"/>
      <c r="AG56" s="39">
        <v>79164</v>
      </c>
      <c r="AH56" s="26"/>
      <c r="AI56" s="26"/>
      <c r="AJ56" s="26"/>
      <c r="AK56" s="26"/>
      <c r="AL56" s="26"/>
      <c r="AM56" s="42"/>
      <c r="AN56" s="26">
        <v>84220</v>
      </c>
      <c r="AO56" s="26"/>
      <c r="AP56" s="26">
        <v>47724</v>
      </c>
      <c r="AQ56" s="26"/>
      <c r="AR56" s="26">
        <f>30000+25000+9670+7000</f>
        <v>71670</v>
      </c>
      <c r="AS56" s="42"/>
      <c r="AT56" s="42"/>
      <c r="AU56" s="42"/>
      <c r="AV56" s="42"/>
      <c r="AW56" s="27">
        <v>0</v>
      </c>
      <c r="AX56" s="26">
        <v>15000</v>
      </c>
      <c r="AY56" s="70"/>
      <c r="AZ56" s="70">
        <v>4000</v>
      </c>
      <c r="BA56" s="26">
        <v>14193</v>
      </c>
      <c r="BB56" s="26"/>
      <c r="BC56" s="26">
        <f>1000</f>
        <v>1000</v>
      </c>
      <c r="BD56" s="39"/>
      <c r="BE56" s="39"/>
      <c r="BF56" s="39"/>
      <c r="BG56" s="27">
        <v>8921</v>
      </c>
      <c r="BH56" s="27"/>
      <c r="BI56" s="101"/>
      <c r="BJ56" s="105"/>
      <c r="BK56" s="26"/>
      <c r="BL56" s="101"/>
      <c r="BM56" s="26"/>
      <c r="BN56" s="26"/>
      <c r="BO56" s="26"/>
      <c r="BP56" s="26">
        <v>41461</v>
      </c>
      <c r="BQ56" s="26"/>
      <c r="BR56" s="26">
        <f>-15000</f>
        <v>-15000</v>
      </c>
      <c r="BS56" s="26">
        <v>46654</v>
      </c>
      <c r="BT56" s="26">
        <f>-1000</f>
        <v>-1000</v>
      </c>
      <c r="BU56" s="26"/>
      <c r="BV56" s="26">
        <v>56412</v>
      </c>
      <c r="BW56" s="26">
        <f>-6000</f>
        <v>-6000</v>
      </c>
      <c r="BX56" s="26"/>
      <c r="BY56" s="26">
        <v>28844</v>
      </c>
      <c r="BZ56" s="26">
        <f>-1000</f>
        <v>-1000</v>
      </c>
      <c r="CA56" s="26">
        <v>40000</v>
      </c>
      <c r="CB56" s="26">
        <v>19102</v>
      </c>
      <c r="CC56" s="26"/>
      <c r="CD56" s="26">
        <v>204976</v>
      </c>
      <c r="CE56" s="26"/>
      <c r="CF56" s="26"/>
      <c r="CG56" s="26"/>
      <c r="CH56" s="26">
        <v>59042</v>
      </c>
      <c r="CI56" s="26">
        <f>-6039</f>
        <v>-6039</v>
      </c>
    </row>
    <row r="57" spans="1:93" s="9" customFormat="1" x14ac:dyDescent="0.25">
      <c r="A57" s="11">
        <v>883</v>
      </c>
      <c r="B57" s="53" t="s">
        <v>51</v>
      </c>
      <c r="C57" s="8">
        <f t="shared" si="1"/>
        <v>21377459</v>
      </c>
      <c r="D57" s="27">
        <v>19424208</v>
      </c>
      <c r="E57" s="27">
        <v>0</v>
      </c>
      <c r="F57" s="26">
        <f>2955+818+11000+3342</f>
        <v>18115</v>
      </c>
      <c r="G57" s="26">
        <v>0</v>
      </c>
      <c r="H57" s="26"/>
      <c r="I57" s="26"/>
      <c r="J57" s="39">
        <v>265112</v>
      </c>
      <c r="K57" s="39">
        <v>0</v>
      </c>
      <c r="L57" s="39">
        <v>50838</v>
      </c>
      <c r="M57" s="42">
        <v>205842</v>
      </c>
      <c r="N57" s="26">
        <v>177008</v>
      </c>
      <c r="O57" s="26">
        <v>-194381</v>
      </c>
      <c r="P57" s="105">
        <v>-103670</v>
      </c>
      <c r="Q57" s="39"/>
      <c r="R57" s="26">
        <v>34842</v>
      </c>
      <c r="S57" s="26">
        <v>37198</v>
      </c>
      <c r="T57" s="27"/>
      <c r="U57" s="27"/>
      <c r="V57" s="27"/>
      <c r="W57" s="27"/>
      <c r="X57" s="27"/>
      <c r="Y57" s="26"/>
      <c r="Z57" s="26"/>
      <c r="AA57" s="26"/>
      <c r="AB57" s="26">
        <v>0</v>
      </c>
      <c r="AC57" s="26">
        <v>135000</v>
      </c>
      <c r="AD57" s="27"/>
      <c r="AE57" s="39"/>
      <c r="AF57" s="39"/>
      <c r="AG57" s="39"/>
      <c r="AH57" s="26"/>
      <c r="AI57" s="26"/>
      <c r="AJ57" s="26"/>
      <c r="AK57" s="26"/>
      <c r="AL57" s="26"/>
      <c r="AM57" s="42"/>
      <c r="AN57" s="26">
        <v>155410</v>
      </c>
      <c r="AO57" s="26"/>
      <c r="AP57" s="26">
        <v>51724</v>
      </c>
      <c r="AQ57" s="26">
        <f>-32000-7000-5824</f>
        <v>-44824</v>
      </c>
      <c r="AR57" s="26">
        <v>3450</v>
      </c>
      <c r="AS57" s="42"/>
      <c r="AT57" s="42"/>
      <c r="AU57" s="42"/>
      <c r="AV57" s="42"/>
      <c r="AW57" s="27">
        <v>0</v>
      </c>
      <c r="AX57" s="26">
        <v>15000</v>
      </c>
      <c r="AY57" s="70">
        <v>-6500</v>
      </c>
      <c r="AZ57" s="70"/>
      <c r="BA57" s="26">
        <v>15277</v>
      </c>
      <c r="BB57" s="26"/>
      <c r="BC57" s="26"/>
      <c r="BD57" s="39"/>
      <c r="BE57" s="39"/>
      <c r="BF57" s="39"/>
      <c r="BG57" s="27">
        <v>12752</v>
      </c>
      <c r="BH57" s="27"/>
      <c r="BI57" s="101"/>
      <c r="BJ57" s="105"/>
      <c r="BK57" s="26"/>
      <c r="BL57" s="101"/>
      <c r="BM57" s="26">
        <v>372663</v>
      </c>
      <c r="BN57" s="26">
        <f>148602+61000</f>
        <v>209602</v>
      </c>
      <c r="BO57" s="26"/>
      <c r="BP57" s="26">
        <v>44295</v>
      </c>
      <c r="BQ57" s="26"/>
      <c r="BR57" s="26"/>
      <c r="BS57" s="26">
        <v>52816</v>
      </c>
      <c r="BT57" s="26"/>
      <c r="BU57" s="26"/>
      <c r="BV57" s="26">
        <v>64590</v>
      </c>
      <c r="BW57" s="26">
        <f>-5000</f>
        <v>-5000</v>
      </c>
      <c r="BX57" s="26"/>
      <c r="BY57" s="26">
        <v>33026</v>
      </c>
      <c r="BZ57" s="26"/>
      <c r="CA57" s="26"/>
      <c r="CB57" s="26">
        <v>19102</v>
      </c>
      <c r="CC57" s="26">
        <v>1917</v>
      </c>
      <c r="CD57" s="26">
        <v>269260</v>
      </c>
      <c r="CE57" s="26"/>
      <c r="CF57" s="26"/>
      <c r="CG57" s="26"/>
      <c r="CH57" s="26">
        <v>62787</v>
      </c>
      <c r="CI57" s="26"/>
    </row>
    <row r="58" spans="1:93" s="10" customFormat="1" x14ac:dyDescent="0.25">
      <c r="A58" s="11">
        <v>884</v>
      </c>
      <c r="B58" s="53" t="s">
        <v>52</v>
      </c>
      <c r="C58" s="8">
        <f t="shared" si="1"/>
        <v>22992954</v>
      </c>
      <c r="D58" s="27">
        <v>21299180</v>
      </c>
      <c r="E58" s="27">
        <v>0</v>
      </c>
      <c r="F58" s="27">
        <f>24495+15389+715+21152+1001+6600+11880+6600-2145+7315+2826+13200+15439+6886+6600+7172+8030+1144+10340+6600+7898+6600-5394</f>
        <v>180343</v>
      </c>
      <c r="G58" s="27">
        <v>17015</v>
      </c>
      <c r="H58" s="27"/>
      <c r="I58" s="27"/>
      <c r="J58" s="39">
        <v>149347</v>
      </c>
      <c r="K58" s="39">
        <v>0</v>
      </c>
      <c r="L58" s="39">
        <v>69128</v>
      </c>
      <c r="M58" s="42">
        <v>55193</v>
      </c>
      <c r="N58" s="27">
        <v>172447</v>
      </c>
      <c r="O58" s="27">
        <v>-214330</v>
      </c>
      <c r="P58" s="105">
        <v>-114309</v>
      </c>
      <c r="Q58" s="39"/>
      <c r="R58" s="27">
        <v>25799</v>
      </c>
      <c r="S58" s="27">
        <v>27544</v>
      </c>
      <c r="T58" s="27"/>
      <c r="U58" s="27"/>
      <c r="V58" s="27"/>
      <c r="W58" s="27">
        <v>75000</v>
      </c>
      <c r="X58" s="27">
        <v>-75000</v>
      </c>
      <c r="Y58" s="27">
        <v>415000</v>
      </c>
      <c r="Z58" s="27">
        <f>14650-178</f>
        <v>14472</v>
      </c>
      <c r="AA58" s="27">
        <v>35178</v>
      </c>
      <c r="AB58" s="27">
        <v>0</v>
      </c>
      <c r="AC58" s="27">
        <v>0</v>
      </c>
      <c r="AD58" s="27">
        <v>14813</v>
      </c>
      <c r="AE58" s="39"/>
      <c r="AF58" s="39"/>
      <c r="AG58" s="39"/>
      <c r="AH58" s="27"/>
      <c r="AI58" s="27"/>
      <c r="AJ58" s="27"/>
      <c r="AK58" s="27"/>
      <c r="AL58" s="26"/>
      <c r="AM58" s="42"/>
      <c r="AN58" s="27">
        <v>180833</v>
      </c>
      <c r="AO58" s="27">
        <v>9100</v>
      </c>
      <c r="AP58" s="27">
        <v>51724</v>
      </c>
      <c r="AQ58" s="27"/>
      <c r="AR58" s="27">
        <f>10000</f>
        <v>10000</v>
      </c>
      <c r="AS58" s="42"/>
      <c r="AT58" s="42"/>
      <c r="AU58" s="42"/>
      <c r="AV58" s="42"/>
      <c r="AW58" s="27">
        <v>0</v>
      </c>
      <c r="AX58" s="26">
        <v>15000</v>
      </c>
      <c r="AY58" s="70"/>
      <c r="AZ58" s="70"/>
      <c r="BA58" s="26">
        <v>18912</v>
      </c>
      <c r="BB58" s="26"/>
      <c r="BC58" s="26"/>
      <c r="BD58" s="39"/>
      <c r="BE58" s="39"/>
      <c r="BF58" s="39"/>
      <c r="BG58" s="27">
        <v>10158</v>
      </c>
      <c r="BH58" s="27"/>
      <c r="BI58" s="101"/>
      <c r="BJ58" s="105">
        <v>35000</v>
      </c>
      <c r="BK58" s="27"/>
      <c r="BL58" s="101"/>
      <c r="BM58" s="27"/>
      <c r="BN58" s="27"/>
      <c r="BO58" s="27"/>
      <c r="BP58" s="27">
        <v>45669</v>
      </c>
      <c r="BQ58" s="27"/>
      <c r="BR58" s="27">
        <v>-17000</v>
      </c>
      <c r="BS58" s="27">
        <v>55803</v>
      </c>
      <c r="BT58" s="27"/>
      <c r="BU58" s="27"/>
      <c r="BV58" s="27">
        <v>72097</v>
      </c>
      <c r="BW58" s="27"/>
      <c r="BX58" s="27"/>
      <c r="BY58" s="27">
        <v>36864</v>
      </c>
      <c r="BZ58" s="27"/>
      <c r="CA58" s="27"/>
      <c r="CB58" s="27">
        <v>19102</v>
      </c>
      <c r="CC58" s="27"/>
      <c r="CD58" s="27">
        <v>227525</v>
      </c>
      <c r="CE58" s="27"/>
      <c r="CF58" s="27"/>
      <c r="CG58" s="27"/>
      <c r="CH58" s="27">
        <v>75347</v>
      </c>
      <c r="CI58" s="27"/>
      <c r="CO58" s="9"/>
    </row>
    <row r="59" spans="1:93" s="9" customFormat="1" x14ac:dyDescent="0.25">
      <c r="A59" s="11">
        <v>888</v>
      </c>
      <c r="B59" s="53" t="s">
        <v>53</v>
      </c>
      <c r="C59" s="8">
        <f t="shared" si="1"/>
        <v>10822808</v>
      </c>
      <c r="D59" s="27">
        <v>9116859</v>
      </c>
      <c r="E59" s="27">
        <v>0</v>
      </c>
      <c r="F59" s="26">
        <f>5280</f>
        <v>5280</v>
      </c>
      <c r="G59" s="26">
        <v>182</v>
      </c>
      <c r="H59" s="26"/>
      <c r="I59" s="26"/>
      <c r="J59" s="39">
        <v>694348</v>
      </c>
      <c r="K59" s="39">
        <v>6005</v>
      </c>
      <c r="L59" s="39">
        <v>0</v>
      </c>
      <c r="M59" s="42">
        <v>961</v>
      </c>
      <c r="N59" s="26">
        <v>81619</v>
      </c>
      <c r="O59" s="26">
        <v>-90452</v>
      </c>
      <c r="P59" s="105">
        <v>-48241</v>
      </c>
      <c r="Q59" s="39"/>
      <c r="R59" s="26">
        <v>10905</v>
      </c>
      <c r="S59" s="26">
        <v>11642</v>
      </c>
      <c r="T59" s="27"/>
      <c r="U59" s="27"/>
      <c r="V59" s="27"/>
      <c r="W59" s="27"/>
      <c r="X59" s="27"/>
      <c r="Y59" s="26"/>
      <c r="Z59" s="26"/>
      <c r="AA59" s="26"/>
      <c r="AB59" s="26">
        <v>0</v>
      </c>
      <c r="AC59" s="26">
        <v>0</v>
      </c>
      <c r="AD59" s="27"/>
      <c r="AE59" s="39"/>
      <c r="AF59" s="39"/>
      <c r="AG59" s="39"/>
      <c r="AH59" s="26"/>
      <c r="AI59" s="26"/>
      <c r="AJ59" s="26"/>
      <c r="AK59" s="26"/>
      <c r="AL59" s="26"/>
      <c r="AM59" s="42"/>
      <c r="AN59" s="26">
        <v>95224</v>
      </c>
      <c r="AO59" s="26"/>
      <c r="AP59" s="26">
        <v>51724</v>
      </c>
      <c r="AQ59" s="26"/>
      <c r="AR59" s="26">
        <v>32000</v>
      </c>
      <c r="AS59" s="42"/>
      <c r="AT59" s="42"/>
      <c r="AU59" s="42"/>
      <c r="AV59" s="42"/>
      <c r="AW59" s="27">
        <v>0</v>
      </c>
      <c r="AX59" s="26">
        <v>15000</v>
      </c>
      <c r="AY59" s="70"/>
      <c r="AZ59" s="70"/>
      <c r="BA59" s="26">
        <v>6623</v>
      </c>
      <c r="BB59" s="26"/>
      <c r="BC59" s="26"/>
      <c r="BD59" s="39"/>
      <c r="BE59" s="39"/>
      <c r="BF59" s="39"/>
      <c r="BG59" s="27">
        <v>5503</v>
      </c>
      <c r="BH59" s="27"/>
      <c r="BI59" s="101"/>
      <c r="BJ59" s="105"/>
      <c r="BK59" s="26"/>
      <c r="BL59" s="101"/>
      <c r="BM59" s="26">
        <v>386315</v>
      </c>
      <c r="BN59" s="26">
        <f>78252+132884</f>
        <v>211136</v>
      </c>
      <c r="BO59" s="26">
        <v>-12151</v>
      </c>
      <c r="BP59" s="26">
        <v>28962</v>
      </c>
      <c r="BQ59" s="26"/>
      <c r="BR59" s="26"/>
      <c r="BS59" s="26">
        <v>19482</v>
      </c>
      <c r="BT59" s="26"/>
      <c r="BU59" s="26"/>
      <c r="BV59" s="26">
        <v>26198</v>
      </c>
      <c r="BW59" s="26"/>
      <c r="BX59" s="26">
        <v>25000</v>
      </c>
      <c r="BY59" s="26">
        <v>13395</v>
      </c>
      <c r="BZ59" s="26"/>
      <c r="CA59" s="26"/>
      <c r="CB59" s="26">
        <v>19102</v>
      </c>
      <c r="CC59" s="26"/>
      <c r="CD59" s="26">
        <v>77302</v>
      </c>
      <c r="CE59" s="26"/>
      <c r="CF59" s="26"/>
      <c r="CG59" s="26"/>
      <c r="CH59" s="26">
        <v>32885</v>
      </c>
      <c r="CI59" s="26"/>
    </row>
    <row r="60" spans="1:93" s="9" customFormat="1" x14ac:dyDescent="0.25">
      <c r="A60" s="11">
        <v>889</v>
      </c>
      <c r="B60" s="53" t="s">
        <v>54</v>
      </c>
      <c r="C60" s="8">
        <f t="shared" si="1"/>
        <v>24092469</v>
      </c>
      <c r="D60" s="27">
        <v>20462720</v>
      </c>
      <c r="E60" s="27">
        <v>0</v>
      </c>
      <c r="F60" s="26">
        <f>462+120+3370+2904+3300+3344+5588+22308+24420+6452-11668</f>
        <v>60600</v>
      </c>
      <c r="G60" s="26">
        <v>0</v>
      </c>
      <c r="H60" s="26"/>
      <c r="I60" s="26"/>
      <c r="J60" s="39">
        <v>1697165</v>
      </c>
      <c r="K60" s="39">
        <v>62293</v>
      </c>
      <c r="L60" s="39">
        <v>61757</v>
      </c>
      <c r="M60" s="42">
        <v>34748</v>
      </c>
      <c r="N60" s="26">
        <v>201141</v>
      </c>
      <c r="O60" s="26">
        <v>-205701</v>
      </c>
      <c r="P60" s="105">
        <v>-109707</v>
      </c>
      <c r="Q60" s="39"/>
      <c r="R60" s="26">
        <v>30453</v>
      </c>
      <c r="S60" s="26">
        <v>32513</v>
      </c>
      <c r="T60" s="27"/>
      <c r="U60" s="27"/>
      <c r="V60" s="27"/>
      <c r="W60" s="27"/>
      <c r="X60" s="27">
        <v>75000</v>
      </c>
      <c r="Y60" s="26"/>
      <c r="Z60" s="26"/>
      <c r="AA60" s="26"/>
      <c r="AB60" s="26">
        <v>0</v>
      </c>
      <c r="AC60" s="26">
        <v>0</v>
      </c>
      <c r="AD60" s="27">
        <v>79813</v>
      </c>
      <c r="AE60" s="39">
        <f>31666+31666</f>
        <v>63332</v>
      </c>
      <c r="AF60" s="39"/>
      <c r="AG60" s="39"/>
      <c r="AH60" s="26"/>
      <c r="AI60" s="26"/>
      <c r="AJ60" s="26"/>
      <c r="AK60" s="26"/>
      <c r="AL60" s="26"/>
      <c r="AM60" s="42"/>
      <c r="AN60" s="26">
        <v>235768</v>
      </c>
      <c r="AO60" s="26">
        <v>12600</v>
      </c>
      <c r="AP60" s="26">
        <v>51724</v>
      </c>
      <c r="AQ60" s="26">
        <v>-20000</v>
      </c>
      <c r="AR60" s="26"/>
      <c r="AS60" s="42"/>
      <c r="AT60" s="42"/>
      <c r="AU60" s="42"/>
      <c r="AV60" s="42"/>
      <c r="AW60" s="27">
        <v>0</v>
      </c>
      <c r="AX60" s="26">
        <v>15000</v>
      </c>
      <c r="AY60" s="70">
        <v>-7000</v>
      </c>
      <c r="AZ60" s="70"/>
      <c r="BA60" s="26">
        <v>16359</v>
      </c>
      <c r="BB60" s="26"/>
      <c r="BC60" s="26"/>
      <c r="BD60" s="39"/>
      <c r="BE60" s="39"/>
      <c r="BF60" s="39"/>
      <c r="BG60" s="27">
        <v>16388</v>
      </c>
      <c r="BH60" s="27"/>
      <c r="BI60" s="101"/>
      <c r="BJ60" s="105">
        <v>35000</v>
      </c>
      <c r="BK60" s="26"/>
      <c r="BL60" s="101"/>
      <c r="BM60" s="26">
        <v>399819</v>
      </c>
      <c r="BN60" s="26">
        <f>204037+122421</f>
        <v>326458</v>
      </c>
      <c r="BO60" s="26"/>
      <c r="BP60" s="26">
        <v>43782</v>
      </c>
      <c r="BQ60" s="26"/>
      <c r="BR60" s="26"/>
      <c r="BS60" s="26">
        <v>51700</v>
      </c>
      <c r="BT60" s="26"/>
      <c r="BU60" s="26"/>
      <c r="BV60" s="26">
        <v>65116</v>
      </c>
      <c r="BW60" s="26"/>
      <c r="BX60" s="26"/>
      <c r="BY60" s="26">
        <v>33295</v>
      </c>
      <c r="BZ60" s="26">
        <f>-3295</f>
        <v>-3295</v>
      </c>
      <c r="CA60" s="26"/>
      <c r="CB60" s="26">
        <v>19102</v>
      </c>
      <c r="CC60" s="26"/>
      <c r="CD60" s="26">
        <v>188001</v>
      </c>
      <c r="CE60" s="26"/>
      <c r="CF60" s="26"/>
      <c r="CG60" s="26"/>
      <c r="CH60" s="26">
        <v>66525</v>
      </c>
      <c r="CI60" s="26"/>
    </row>
    <row r="61" spans="1:93" s="9" customFormat="1" x14ac:dyDescent="0.25">
      <c r="A61" s="11">
        <v>890</v>
      </c>
      <c r="B61" s="53" t="s">
        <v>55</v>
      </c>
      <c r="C61" s="8">
        <f t="shared" si="1"/>
        <v>135058679</v>
      </c>
      <c r="D61" s="27">
        <v>128524540</v>
      </c>
      <c r="E61" s="27">
        <v>0</v>
      </c>
      <c r="F61" s="26">
        <f>92038+5325+2563+88+60035+62206+72221+726+22733+68314+100569+18877+5121+22340+8693+6167+10670+11743+7728+9561+1491+7977+10331+18676+36099+7800+20097+3264+118934+2970+43630+6652+10036+2008+62865+22011+16390+1782+4400+10990-1288-2970+6145-27170-17050</f>
        <v>953788</v>
      </c>
      <c r="G61" s="26">
        <v>0</v>
      </c>
      <c r="H61" s="26"/>
      <c r="I61" s="26"/>
      <c r="J61" s="39">
        <v>0</v>
      </c>
      <c r="K61" s="39">
        <v>0</v>
      </c>
      <c r="L61" s="39">
        <v>265146</v>
      </c>
      <c r="M61" s="42">
        <v>7</v>
      </c>
      <c r="N61" s="26">
        <v>1141092</v>
      </c>
      <c r="O61" s="26">
        <v>-1307262</v>
      </c>
      <c r="P61" s="105">
        <v>-697206</v>
      </c>
      <c r="Q61" s="39"/>
      <c r="R61" s="26">
        <v>155769</v>
      </c>
      <c r="S61" s="26"/>
      <c r="T61" s="27">
        <v>57230</v>
      </c>
      <c r="U61" s="27">
        <v>39800</v>
      </c>
      <c r="V61" s="27">
        <v>62500</v>
      </c>
      <c r="W61" s="27"/>
      <c r="X61" s="27"/>
      <c r="Y61" s="26">
        <v>110000</v>
      </c>
      <c r="Z61" s="26">
        <v>-14650</v>
      </c>
      <c r="AA61" s="26"/>
      <c r="AB61" s="26">
        <v>0</v>
      </c>
      <c r="AC61" s="26">
        <v>0</v>
      </c>
      <c r="AD61" s="27">
        <v>55925</v>
      </c>
      <c r="AE61" s="39"/>
      <c r="AF61" s="39"/>
      <c r="AG61" s="39"/>
      <c r="AH61" s="26"/>
      <c r="AI61" s="26"/>
      <c r="AJ61" s="26"/>
      <c r="AK61" s="26"/>
      <c r="AL61" s="26">
        <v>35000</v>
      </c>
      <c r="AM61" s="42"/>
      <c r="AN61" s="26">
        <v>1321026</v>
      </c>
      <c r="AO61" s="26"/>
      <c r="AP61" s="26">
        <v>51724</v>
      </c>
      <c r="AQ61" s="26"/>
      <c r="AR61" s="26">
        <f>60000+9000+1500+5000</f>
        <v>75500</v>
      </c>
      <c r="AS61" s="42">
        <v>22375</v>
      </c>
      <c r="AT61" s="42"/>
      <c r="AU61" s="42">
        <v>85458</v>
      </c>
      <c r="AV61" s="42">
        <f>-37343</f>
        <v>-37343</v>
      </c>
      <c r="AW61" s="27">
        <v>0</v>
      </c>
      <c r="AX61" s="26">
        <v>15000</v>
      </c>
      <c r="AY61" s="70">
        <v>-6900</v>
      </c>
      <c r="AZ61" s="70"/>
      <c r="BA61" s="26">
        <v>119765</v>
      </c>
      <c r="BB61" s="26">
        <f>-18384</f>
        <v>-18384</v>
      </c>
      <c r="BC61" s="26"/>
      <c r="BD61" s="39">
        <v>1545378</v>
      </c>
      <c r="BE61" s="39"/>
      <c r="BF61" s="39"/>
      <c r="BG61" s="27">
        <v>110548</v>
      </c>
      <c r="BH61" s="27">
        <v>127457</v>
      </c>
      <c r="BI61" s="101">
        <v>25000</v>
      </c>
      <c r="BJ61" s="105">
        <v>35000</v>
      </c>
      <c r="BK61" s="26"/>
      <c r="BL61" s="101"/>
      <c r="BM61" s="26"/>
      <c r="BN61" s="26"/>
      <c r="BO61" s="26"/>
      <c r="BP61" s="26">
        <v>191962</v>
      </c>
      <c r="BQ61" s="26"/>
      <c r="BR61" s="26"/>
      <c r="BS61" s="26">
        <v>373831</v>
      </c>
      <c r="BT61" s="26"/>
      <c r="BU61" s="26"/>
      <c r="BV61" s="26">
        <v>469038</v>
      </c>
      <c r="BW61" s="26">
        <v>-269038</v>
      </c>
      <c r="BX61" s="26"/>
      <c r="BY61" s="26">
        <v>239828</v>
      </c>
      <c r="BZ61" s="26">
        <v>-230533</v>
      </c>
      <c r="CA61" s="26"/>
      <c r="CB61" s="26">
        <v>14371</v>
      </c>
      <c r="CC61" s="26">
        <v>8496</v>
      </c>
      <c r="CD61" s="26">
        <v>983614</v>
      </c>
      <c r="CE61" s="26"/>
      <c r="CF61" s="26"/>
      <c r="CG61" s="26"/>
      <c r="CH61" s="26">
        <v>423827</v>
      </c>
      <c r="CI61" s="26"/>
    </row>
    <row r="62" spans="1:93" s="9" customFormat="1" x14ac:dyDescent="0.25">
      <c r="A62" s="11">
        <v>892</v>
      </c>
      <c r="B62" s="53" t="s">
        <v>56</v>
      </c>
      <c r="C62" s="8">
        <f t="shared" si="1"/>
        <v>24410419</v>
      </c>
      <c r="D62" s="27">
        <v>23039170</v>
      </c>
      <c r="E62" s="27">
        <v>0</v>
      </c>
      <c r="F62" s="26">
        <f>292+240+168+647+2450</f>
        <v>3797</v>
      </c>
      <c r="G62" s="26">
        <v>0</v>
      </c>
      <c r="H62" s="26"/>
      <c r="I62" s="26"/>
      <c r="J62" s="39">
        <v>205518</v>
      </c>
      <c r="K62" s="39">
        <v>751</v>
      </c>
      <c r="L62" s="39">
        <v>235699</v>
      </c>
      <c r="M62" s="42">
        <v>106</v>
      </c>
      <c r="N62" s="26">
        <v>246701</v>
      </c>
      <c r="O62" s="26">
        <v>-231684</v>
      </c>
      <c r="P62" s="105">
        <v>-123565</v>
      </c>
      <c r="Q62" s="39"/>
      <c r="R62" s="26">
        <v>32626</v>
      </c>
      <c r="S62" s="26">
        <v>34832</v>
      </c>
      <c r="T62" s="27"/>
      <c r="U62" s="27"/>
      <c r="V62" s="27"/>
      <c r="W62" s="27"/>
      <c r="X62" s="27"/>
      <c r="Y62" s="26"/>
      <c r="Z62" s="26"/>
      <c r="AA62" s="26"/>
      <c r="AB62" s="26">
        <v>0</v>
      </c>
      <c r="AC62" s="26">
        <v>0</v>
      </c>
      <c r="AD62" s="27"/>
      <c r="AE62" s="39"/>
      <c r="AF62" s="39"/>
      <c r="AG62" s="39"/>
      <c r="AH62" s="26"/>
      <c r="AI62" s="26"/>
      <c r="AJ62" s="26"/>
      <c r="AK62" s="26"/>
      <c r="AL62" s="26">
        <v>35000</v>
      </c>
      <c r="AM62" s="42"/>
      <c r="AN62" s="26">
        <v>330048</v>
      </c>
      <c r="AO62" s="26">
        <v>3500</v>
      </c>
      <c r="AP62" s="26">
        <v>51724</v>
      </c>
      <c r="AQ62" s="26">
        <f>-10000-10000-7772</f>
        <v>-27772</v>
      </c>
      <c r="AR62" s="26"/>
      <c r="AS62" s="42">
        <v>38892</v>
      </c>
      <c r="AT62" s="42">
        <v>-11290</v>
      </c>
      <c r="AU62" s="42"/>
      <c r="AV62" s="42"/>
      <c r="AW62" s="27">
        <v>0</v>
      </c>
      <c r="AX62" s="26">
        <v>15000</v>
      </c>
      <c r="AY62" s="70">
        <v>-14205</v>
      </c>
      <c r="AZ62" s="70"/>
      <c r="BA62" s="26">
        <v>19646</v>
      </c>
      <c r="BB62" s="26"/>
      <c r="BC62" s="26"/>
      <c r="BD62" s="39"/>
      <c r="BE62" s="39"/>
      <c r="BF62" s="39"/>
      <c r="BG62" s="27">
        <v>28776</v>
      </c>
      <c r="BH62" s="27"/>
      <c r="BI62" s="101"/>
      <c r="BJ62" s="105"/>
      <c r="BK62" s="26"/>
      <c r="BL62" s="101"/>
      <c r="BM62" s="26"/>
      <c r="BN62" s="26"/>
      <c r="BO62" s="26"/>
      <c r="BP62" s="26">
        <v>46794</v>
      </c>
      <c r="BQ62" s="26"/>
      <c r="BR62" s="26"/>
      <c r="BS62" s="26">
        <v>64007</v>
      </c>
      <c r="BT62" s="26">
        <f>-20000</f>
        <v>-20000</v>
      </c>
      <c r="BU62" s="26"/>
      <c r="BV62" s="26">
        <v>78657</v>
      </c>
      <c r="BW62" s="26"/>
      <c r="BX62" s="26"/>
      <c r="BY62" s="26">
        <v>40219</v>
      </c>
      <c r="BZ62" s="26">
        <f>-13000</f>
        <v>-13000</v>
      </c>
      <c r="CA62" s="26"/>
      <c r="CB62" s="26">
        <v>19102</v>
      </c>
      <c r="CC62" s="26"/>
      <c r="CD62" s="26">
        <v>203487</v>
      </c>
      <c r="CE62" s="26"/>
      <c r="CF62" s="26"/>
      <c r="CG62" s="26"/>
      <c r="CH62" s="26">
        <v>77883</v>
      </c>
      <c r="CI62" s="26"/>
    </row>
    <row r="63" spans="1:93" s="9" customFormat="1" x14ac:dyDescent="0.25">
      <c r="A63" s="11">
        <v>894</v>
      </c>
      <c r="B63" s="53" t="s">
        <v>57</v>
      </c>
      <c r="C63" s="8">
        <f t="shared" si="1"/>
        <v>16520958</v>
      </c>
      <c r="D63" s="27">
        <v>14572086</v>
      </c>
      <c r="E63" s="27">
        <v>130225</v>
      </c>
      <c r="F63" s="26">
        <f>1150+2477+1606+5151+11332-1030+1970+2310+1452+400+11332+2483+11182+7695+3399+10702+4648+79+1481+2777+10302+670-5401</f>
        <v>88167</v>
      </c>
      <c r="G63" s="26">
        <v>0</v>
      </c>
      <c r="H63" s="26"/>
      <c r="I63" s="26"/>
      <c r="J63" s="39">
        <v>17482</v>
      </c>
      <c r="K63" s="39">
        <v>20913</v>
      </c>
      <c r="L63" s="39">
        <v>61689</v>
      </c>
      <c r="M63" s="42">
        <v>138773</v>
      </c>
      <c r="N63" s="26">
        <v>166109</v>
      </c>
      <c r="O63" s="26">
        <v>-145626</v>
      </c>
      <c r="P63" s="105">
        <v>-77667</v>
      </c>
      <c r="Q63" s="39"/>
      <c r="R63" s="26">
        <v>20746</v>
      </c>
      <c r="S63" s="26">
        <v>22149</v>
      </c>
      <c r="T63" s="27"/>
      <c r="U63" s="27"/>
      <c r="V63" s="27"/>
      <c r="W63" s="27"/>
      <c r="X63" s="27"/>
      <c r="Y63" s="26"/>
      <c r="Z63" s="26"/>
      <c r="AA63" s="26"/>
      <c r="AB63" s="26">
        <v>0</v>
      </c>
      <c r="AC63" s="26">
        <v>0</v>
      </c>
      <c r="AD63" s="27">
        <v>42177</v>
      </c>
      <c r="AE63" s="39">
        <v>158328</v>
      </c>
      <c r="AF63" s="39"/>
      <c r="AG63" s="39"/>
      <c r="AH63" s="26"/>
      <c r="AI63" s="26"/>
      <c r="AJ63" s="26"/>
      <c r="AK63" s="26"/>
      <c r="AL63" s="26">
        <v>42903</v>
      </c>
      <c r="AM63" s="42"/>
      <c r="AN63" s="26">
        <v>158927</v>
      </c>
      <c r="AO63" s="26"/>
      <c r="AP63" s="26">
        <v>51724</v>
      </c>
      <c r="AQ63" s="26">
        <f>-2138</f>
        <v>-2138</v>
      </c>
      <c r="AR63" s="26"/>
      <c r="AS63" s="42"/>
      <c r="AT63" s="42"/>
      <c r="AU63" s="42"/>
      <c r="AV63" s="42"/>
      <c r="AW63" s="27">
        <v>0</v>
      </c>
      <c r="AX63" s="26">
        <v>15000</v>
      </c>
      <c r="AY63" s="70">
        <v>-7500</v>
      </c>
      <c r="AZ63" s="70"/>
      <c r="BA63" s="26">
        <v>11747</v>
      </c>
      <c r="BB63" s="26"/>
      <c r="BC63" s="26"/>
      <c r="BD63" s="39"/>
      <c r="BE63" s="39"/>
      <c r="BF63" s="39"/>
      <c r="BG63" s="27">
        <v>9503</v>
      </c>
      <c r="BH63" s="27"/>
      <c r="BI63" s="101"/>
      <c r="BJ63" s="105">
        <v>35000</v>
      </c>
      <c r="BK63" s="26"/>
      <c r="BL63" s="101"/>
      <c r="BM63" s="26">
        <v>675872</v>
      </c>
      <c r="BN63" s="26"/>
      <c r="BO63" s="26"/>
      <c r="BP63" s="26">
        <v>37031</v>
      </c>
      <c r="BQ63" s="26"/>
      <c r="BR63" s="26">
        <f>-15500-1753</f>
        <v>-17253</v>
      </c>
      <c r="BS63" s="26">
        <v>37024</v>
      </c>
      <c r="BT63" s="26">
        <f>-21400-564</f>
        <v>-21964</v>
      </c>
      <c r="BU63" s="26"/>
      <c r="BV63" s="26">
        <v>46950</v>
      </c>
      <c r="BW63" s="26"/>
      <c r="BX63" s="26">
        <f>44400</f>
        <v>44400</v>
      </c>
      <c r="BY63" s="26">
        <v>24006</v>
      </c>
      <c r="BZ63" s="26">
        <f>-6</f>
        <v>-6</v>
      </c>
      <c r="CA63" s="26"/>
      <c r="CB63" s="26">
        <v>0</v>
      </c>
      <c r="CC63" s="26"/>
      <c r="CD63" s="26">
        <v>113592</v>
      </c>
      <c r="CE63" s="26"/>
      <c r="CF63" s="26"/>
      <c r="CG63" s="26"/>
      <c r="CH63" s="26">
        <v>50589</v>
      </c>
      <c r="CI63" s="26"/>
    </row>
    <row r="64" spans="1:93" s="9" customFormat="1" x14ac:dyDescent="0.25">
      <c r="A64" s="11">
        <v>896</v>
      </c>
      <c r="B64" s="53" t="s">
        <v>58</v>
      </c>
      <c r="C64" s="8">
        <f t="shared" si="1"/>
        <v>21834970</v>
      </c>
      <c r="D64" s="27">
        <v>19932584</v>
      </c>
      <c r="E64" s="27">
        <v>0</v>
      </c>
      <c r="F64" s="26">
        <f>14300+333283+50+849+1420+1682+1048+319-310-51+241+13000</f>
        <v>365831</v>
      </c>
      <c r="G64" s="26">
        <v>0</v>
      </c>
      <c r="H64" s="26"/>
      <c r="I64" s="26"/>
      <c r="J64" s="39">
        <v>360013</v>
      </c>
      <c r="K64" s="39">
        <v>32784</v>
      </c>
      <c r="L64" s="39">
        <v>40178</v>
      </c>
      <c r="M64" s="42">
        <v>2012</v>
      </c>
      <c r="N64" s="26">
        <v>215886</v>
      </c>
      <c r="O64" s="26">
        <v>-200681</v>
      </c>
      <c r="P64" s="26">
        <v>-107030</v>
      </c>
      <c r="Q64" s="138"/>
      <c r="R64" s="26">
        <v>23494</v>
      </c>
      <c r="S64" s="26">
        <v>25083</v>
      </c>
      <c r="T64" s="27"/>
      <c r="U64" s="27"/>
      <c r="V64" s="27"/>
      <c r="W64" s="27"/>
      <c r="X64" s="27"/>
      <c r="Y64" s="26"/>
      <c r="Z64" s="26"/>
      <c r="AA64" s="26"/>
      <c r="AB64" s="26">
        <v>0</v>
      </c>
      <c r="AC64" s="26">
        <v>0</v>
      </c>
      <c r="AD64" s="27">
        <v>36266</v>
      </c>
      <c r="AE64" s="39"/>
      <c r="AF64" s="39">
        <f>211104</f>
        <v>211104</v>
      </c>
      <c r="AG64" s="39"/>
      <c r="AH64" s="26"/>
      <c r="AI64" s="26"/>
      <c r="AJ64" s="26"/>
      <c r="AK64" s="26"/>
      <c r="AL64" s="26"/>
      <c r="AM64" s="42"/>
      <c r="AN64" s="26">
        <v>306960</v>
      </c>
      <c r="AO64" s="26"/>
      <c r="AP64" s="26">
        <v>51724</v>
      </c>
      <c r="AQ64" s="26">
        <f>-20000-1317</f>
        <v>-21317</v>
      </c>
      <c r="AR64" s="26">
        <v>7000</v>
      </c>
      <c r="AS64" s="42"/>
      <c r="AT64" s="42"/>
      <c r="AU64" s="42"/>
      <c r="AV64" s="42"/>
      <c r="AW64" s="27">
        <v>0</v>
      </c>
      <c r="AX64" s="26">
        <v>15000</v>
      </c>
      <c r="AY64" s="70">
        <v>-14000</v>
      </c>
      <c r="AZ64" s="70"/>
      <c r="BA64" s="26">
        <v>16538</v>
      </c>
      <c r="BB64" s="26">
        <f>-3000</f>
        <v>-3000</v>
      </c>
      <c r="BC64" s="26"/>
      <c r="BD64" s="39"/>
      <c r="BE64" s="39"/>
      <c r="BF64" s="39"/>
      <c r="BG64" s="27">
        <v>14061</v>
      </c>
      <c r="BH64" s="27">
        <v>42618</v>
      </c>
      <c r="BI64" s="101">
        <v>25000</v>
      </c>
      <c r="BJ64" s="105">
        <v>35000</v>
      </c>
      <c r="BK64" s="26">
        <v>20000</v>
      </c>
      <c r="BL64" s="101">
        <v>25000</v>
      </c>
      <c r="BM64" s="26"/>
      <c r="BN64" s="26"/>
      <c r="BO64" s="26"/>
      <c r="BP64" s="26">
        <v>33193</v>
      </c>
      <c r="BQ64" s="26"/>
      <c r="BR64" s="26">
        <f>-22000</f>
        <v>-22000</v>
      </c>
      <c r="BS64" s="26">
        <v>51477</v>
      </c>
      <c r="BT64" s="26">
        <f>-44000</f>
        <v>-44000</v>
      </c>
      <c r="BU64" s="26"/>
      <c r="BV64" s="26">
        <v>64359</v>
      </c>
      <c r="BW64" s="26">
        <f>-20000</f>
        <v>-20000</v>
      </c>
      <c r="BX64" s="26"/>
      <c r="BY64" s="26">
        <v>32908</v>
      </c>
      <c r="BZ64" s="26">
        <f>-2000</f>
        <v>-2000</v>
      </c>
      <c r="CA64" s="26"/>
      <c r="CB64" s="26">
        <v>19102</v>
      </c>
      <c r="CC64" s="26"/>
      <c r="CD64" s="26">
        <v>196680</v>
      </c>
      <c r="CE64" s="26"/>
      <c r="CF64" s="26"/>
      <c r="CG64" s="26"/>
      <c r="CH64" s="26">
        <v>67143</v>
      </c>
      <c r="CI64" s="26"/>
    </row>
    <row r="65" spans="1:87" s="9" customFormat="1" x14ac:dyDescent="0.25">
      <c r="A65" s="11">
        <v>898</v>
      </c>
      <c r="B65" s="53" t="s">
        <v>59</v>
      </c>
      <c r="C65" s="8">
        <f t="shared" si="1"/>
        <v>13143119</v>
      </c>
      <c r="D65" s="27">
        <v>12398935</v>
      </c>
      <c r="E65" s="27">
        <v>0</v>
      </c>
      <c r="F65" s="27">
        <f>528+3256+3850+8056+10428+5360+297+836+125+3960+62+1980+1980+1980+15136+2050+7717+3618+378</f>
        <v>71597</v>
      </c>
      <c r="G65" s="27">
        <v>0</v>
      </c>
      <c r="H65" s="27"/>
      <c r="I65" s="27"/>
      <c r="J65" s="40">
        <v>143484</v>
      </c>
      <c r="K65" s="40">
        <v>1489</v>
      </c>
      <c r="L65" s="40">
        <v>3</v>
      </c>
      <c r="M65" s="43">
        <v>97136</v>
      </c>
      <c r="N65" s="26">
        <v>128498</v>
      </c>
      <c r="O65" s="26">
        <v>-123407</v>
      </c>
      <c r="P65" s="26">
        <v>-65817</v>
      </c>
      <c r="Q65" s="138"/>
      <c r="R65" s="26">
        <v>18039</v>
      </c>
      <c r="S65" s="26">
        <v>19262</v>
      </c>
      <c r="T65" s="37"/>
      <c r="U65" s="37"/>
      <c r="V65" s="37"/>
      <c r="W65" s="37"/>
      <c r="X65" s="27"/>
      <c r="Y65" s="27"/>
      <c r="Z65" s="27"/>
      <c r="AA65" s="27"/>
      <c r="AB65" s="27">
        <v>0</v>
      </c>
      <c r="AC65" s="27">
        <v>0</v>
      </c>
      <c r="AD65" s="37"/>
      <c r="AE65" s="40"/>
      <c r="AF65" s="40"/>
      <c r="AG65" s="40"/>
      <c r="AH65" s="27"/>
      <c r="AI65" s="27"/>
      <c r="AJ65" s="27"/>
      <c r="AK65" s="26"/>
      <c r="AL65" s="27">
        <v>35000</v>
      </c>
      <c r="AM65" s="43"/>
      <c r="AN65" s="26">
        <v>0</v>
      </c>
      <c r="AO65" s="26">
        <v>12500</v>
      </c>
      <c r="AP65" s="27">
        <v>51394</v>
      </c>
      <c r="AQ65" s="27">
        <f>-10000-6175-1930</f>
        <v>-18105</v>
      </c>
      <c r="AR65" s="27">
        <f>2000+3000</f>
        <v>5000</v>
      </c>
      <c r="AS65" s="43"/>
      <c r="AT65" s="43"/>
      <c r="AU65" s="43"/>
      <c r="AV65" s="43"/>
      <c r="AW65" s="37">
        <v>0</v>
      </c>
      <c r="AX65" s="27">
        <v>15000</v>
      </c>
      <c r="AY65" s="73">
        <v>-12818</v>
      </c>
      <c r="AZ65" s="73"/>
      <c r="BA65" s="27">
        <v>9667</v>
      </c>
      <c r="BB65" s="27">
        <f>-9667</f>
        <v>-9667</v>
      </c>
      <c r="BC65" s="27"/>
      <c r="BD65" s="40"/>
      <c r="BE65" s="40"/>
      <c r="BF65" s="40">
        <v>85000</v>
      </c>
      <c r="BG65" s="37"/>
      <c r="BH65" s="37"/>
      <c r="BI65" s="102"/>
      <c r="BJ65" s="105"/>
      <c r="BK65" s="26"/>
      <c r="BL65" s="102"/>
      <c r="BM65" s="26"/>
      <c r="BN65" s="26"/>
      <c r="BO65" s="26"/>
      <c r="BP65" s="27">
        <v>34245</v>
      </c>
      <c r="BQ65" s="27"/>
      <c r="BR65" s="27"/>
      <c r="BS65" s="27">
        <v>30966</v>
      </c>
      <c r="BT65" s="27">
        <f>-7673</f>
        <v>-7673</v>
      </c>
      <c r="BU65" s="27"/>
      <c r="BV65" s="26">
        <v>39130</v>
      </c>
      <c r="BW65" s="26"/>
      <c r="BX65" s="26"/>
      <c r="BY65" s="26">
        <v>20007</v>
      </c>
      <c r="BZ65" s="26">
        <f>-20007</f>
        <v>-20007</v>
      </c>
      <c r="CA65" s="26"/>
      <c r="CB65" s="27">
        <v>19102</v>
      </c>
      <c r="CC65" s="27">
        <v>124</v>
      </c>
      <c r="CD65" s="26">
        <v>121633</v>
      </c>
      <c r="CE65" s="27"/>
      <c r="CF65" s="27"/>
      <c r="CG65" s="27"/>
      <c r="CH65" s="26">
        <v>43402</v>
      </c>
      <c r="CI65" s="26"/>
    </row>
    <row r="66" spans="1:87" s="10" customFormat="1" ht="15.75" thickBot="1" x14ac:dyDescent="0.3">
      <c r="A66" s="54"/>
      <c r="B66" s="55" t="s">
        <v>0</v>
      </c>
      <c r="C66" s="44">
        <f>SUM(C8:C65)</f>
        <v>1606759606</v>
      </c>
      <c r="D66" s="45">
        <f t="shared" ref="D66" si="2">SUM(D8:D65)</f>
        <v>1497075387</v>
      </c>
      <c r="E66" s="45">
        <f>SUM(E8:E65)</f>
        <v>643767</v>
      </c>
      <c r="F66" s="45">
        <f>SUM(F8:F65)</f>
        <v>5491279</v>
      </c>
      <c r="G66" s="45">
        <f t="shared" ref="G66:AR66" si="3">SUM(G8:G65)</f>
        <v>34040</v>
      </c>
      <c r="H66" s="45">
        <f t="shared" si="3"/>
        <v>-32700</v>
      </c>
      <c r="I66" s="45">
        <f t="shared" si="3"/>
        <v>32700</v>
      </c>
      <c r="J66" s="45">
        <f t="shared" ref="J66" si="4">SUM(J8:J65)</f>
        <v>16812807</v>
      </c>
      <c r="K66" s="45">
        <f t="shared" ref="K66:L66" si="5">SUM(K8:K65)</f>
        <v>458135</v>
      </c>
      <c r="L66" s="45">
        <f t="shared" si="5"/>
        <v>2768588</v>
      </c>
      <c r="M66" s="45">
        <f t="shared" ref="M66" si="6">SUM(M8:M65)</f>
        <v>6799248</v>
      </c>
      <c r="N66" s="45">
        <f t="shared" ref="N66:P66" si="7">SUM(N8:N65)</f>
        <v>13911175</v>
      </c>
      <c r="O66" s="45">
        <f t="shared" si="7"/>
        <v>-15000000</v>
      </c>
      <c r="P66" s="45">
        <f t="shared" si="7"/>
        <v>-8000000</v>
      </c>
      <c r="Q66" s="139"/>
      <c r="R66" s="45">
        <f>SUM(R8:R65)</f>
        <v>2000000</v>
      </c>
      <c r="S66" s="45">
        <f>SUM(S8:S65)</f>
        <v>1000000</v>
      </c>
      <c r="T66" s="45">
        <f t="shared" ref="T66:X66" si="8">SUM(T8:T65)</f>
        <v>57230</v>
      </c>
      <c r="U66" s="45">
        <f t="shared" si="8"/>
        <v>39800</v>
      </c>
      <c r="V66" s="45">
        <f t="shared" si="8"/>
        <v>62500</v>
      </c>
      <c r="W66" s="45">
        <f t="shared" si="8"/>
        <v>75000</v>
      </c>
      <c r="X66" s="45">
        <f t="shared" si="8"/>
        <v>0</v>
      </c>
      <c r="Y66" s="45">
        <f>SUM(Y8:Y65)</f>
        <v>650000</v>
      </c>
      <c r="Z66" s="45">
        <f>SUM(Z8:Z65)</f>
        <v>-178</v>
      </c>
      <c r="AA66" s="45">
        <f>SUM(AA8:AA65)</f>
        <v>35178</v>
      </c>
      <c r="AB66" s="45">
        <f>SUM(AB8:AB65)</f>
        <v>557433</v>
      </c>
      <c r="AC66" s="45">
        <f t="shared" ref="AC66" si="9">SUM(AC8:AC65)</f>
        <v>135000</v>
      </c>
      <c r="AD66" s="45">
        <f>SUM(AD8:AD65)</f>
        <v>583822</v>
      </c>
      <c r="AE66" s="45">
        <f>SUM(AE8:AE65)</f>
        <v>3124340</v>
      </c>
      <c r="AF66" s="45">
        <f t="shared" ref="AF66" si="10">SUM(AF8:AF65)</f>
        <v>1438146</v>
      </c>
      <c r="AG66" s="45">
        <f t="shared" ref="AG66:AP66" si="11">SUM(AG8:AG65)</f>
        <v>237492</v>
      </c>
      <c r="AH66" s="45">
        <f t="shared" si="11"/>
        <v>30000</v>
      </c>
      <c r="AI66" s="45">
        <f t="shared" si="11"/>
        <v>123175</v>
      </c>
      <c r="AJ66" s="45">
        <f t="shared" si="11"/>
        <v>18998</v>
      </c>
      <c r="AK66" s="45">
        <f t="shared" si="11"/>
        <v>412340</v>
      </c>
      <c r="AL66" s="45">
        <f t="shared" si="11"/>
        <v>810000</v>
      </c>
      <c r="AM66" s="45">
        <f>SUM(AM8:AM65)</f>
        <v>3136430</v>
      </c>
      <c r="AN66" s="45">
        <f>SUM(AN8:AN65)</f>
        <v>13732686</v>
      </c>
      <c r="AO66" s="45">
        <f>SUM(AO8:AO65)</f>
        <v>183196</v>
      </c>
      <c r="AP66" s="45">
        <f t="shared" si="11"/>
        <v>2954323</v>
      </c>
      <c r="AQ66" s="45">
        <f t="shared" si="3"/>
        <v>-792959</v>
      </c>
      <c r="AR66" s="45">
        <f t="shared" si="3"/>
        <v>731928</v>
      </c>
      <c r="AS66" s="45">
        <f>SUM(AS8:AS65)</f>
        <v>140327</v>
      </c>
      <c r="AT66" s="45">
        <f>SUM(AT8:AT65)</f>
        <v>-14193</v>
      </c>
      <c r="AU66" s="45">
        <f>SUM(AU8:AU65)</f>
        <v>174140</v>
      </c>
      <c r="AV66" s="45">
        <f>SUM(AV8:AV65)</f>
        <v>-111468</v>
      </c>
      <c r="AW66" s="45">
        <f t="shared" ref="AW66" si="12">SUM(AW8:AW65)</f>
        <v>500000</v>
      </c>
      <c r="AX66" s="45">
        <f>SUM(AX8:AX65)</f>
        <v>870000</v>
      </c>
      <c r="AY66" s="74">
        <f t="shared" ref="AY66:BC66" si="13">SUM(AY8:AY65)</f>
        <v>-317555</v>
      </c>
      <c r="AZ66" s="74">
        <f t="shared" si="13"/>
        <v>33521</v>
      </c>
      <c r="BA66" s="45">
        <f t="shared" si="13"/>
        <v>1300003</v>
      </c>
      <c r="BB66" s="45">
        <f t="shared" si="13"/>
        <v>-187059</v>
      </c>
      <c r="BC66" s="45">
        <f t="shared" si="13"/>
        <v>192223</v>
      </c>
      <c r="BD66" s="45">
        <f t="shared" ref="BD66:BF66" si="14">SUM(BD8:BD65)</f>
        <v>4101447</v>
      </c>
      <c r="BE66" s="45">
        <f t="shared" si="14"/>
        <v>-127500</v>
      </c>
      <c r="BF66" s="45">
        <f t="shared" si="14"/>
        <v>127500</v>
      </c>
      <c r="BG66" s="45">
        <f>SUM(BG8:BG65)</f>
        <v>959922</v>
      </c>
      <c r="BH66" s="45">
        <f t="shared" ref="BH66:BJ66" si="15">SUM(BH8:BH65)</f>
        <v>413417</v>
      </c>
      <c r="BI66" s="45">
        <f t="shared" si="15"/>
        <v>200000</v>
      </c>
      <c r="BJ66" s="45">
        <f t="shared" si="15"/>
        <v>630000</v>
      </c>
      <c r="BK66" s="45">
        <f t="shared" ref="BK66:BS66" si="16">SUM(BK8:BK65)</f>
        <v>100000</v>
      </c>
      <c r="BL66" s="45">
        <f t="shared" si="16"/>
        <v>185000</v>
      </c>
      <c r="BM66" s="45">
        <f t="shared" si="16"/>
        <v>8791138</v>
      </c>
      <c r="BN66" s="45">
        <f t="shared" si="16"/>
        <v>2039919</v>
      </c>
      <c r="BO66" s="45">
        <f t="shared" si="16"/>
        <v>-263410</v>
      </c>
      <c r="BP66" s="45">
        <f t="shared" si="16"/>
        <v>2968121</v>
      </c>
      <c r="BQ66" s="45">
        <f t="shared" si="16"/>
        <v>15125</v>
      </c>
      <c r="BR66" s="45">
        <f t="shared" si="16"/>
        <v>-483288</v>
      </c>
      <c r="BS66" s="45">
        <f t="shared" si="16"/>
        <v>3972143</v>
      </c>
      <c r="BT66" s="45">
        <f t="shared" ref="BT66:BU66" si="17">SUM(BT8:BT65)</f>
        <v>-852221</v>
      </c>
      <c r="BU66" s="45">
        <f t="shared" si="17"/>
        <v>9191</v>
      </c>
      <c r="BV66" s="45">
        <f t="shared" ref="BV66:CA66" si="18">SUM(BV8:BV65)</f>
        <v>5000000</v>
      </c>
      <c r="BW66" s="45">
        <f t="shared" si="18"/>
        <v>-394160</v>
      </c>
      <c r="BX66" s="45">
        <f t="shared" si="18"/>
        <v>558616</v>
      </c>
      <c r="BY66" s="45">
        <f t="shared" si="18"/>
        <v>2591723</v>
      </c>
      <c r="BZ66" s="45">
        <f t="shared" si="18"/>
        <v>-823097</v>
      </c>
      <c r="CA66" s="45">
        <f t="shared" si="18"/>
        <v>41350</v>
      </c>
      <c r="CB66" s="45">
        <f t="shared" ref="CB66:CC66" si="19">SUM(CB8:CB65)</f>
        <v>970000</v>
      </c>
      <c r="CC66" s="45">
        <f t="shared" si="19"/>
        <v>129979</v>
      </c>
      <c r="CD66" s="45">
        <f>SUM(CD8:CD65)</f>
        <v>14549996</v>
      </c>
      <c r="CE66" s="45">
        <f t="shared" ref="CE66:CG66" si="20">SUM(CE8:CE65)</f>
        <v>381021</v>
      </c>
      <c r="CF66" s="45">
        <f t="shared" si="20"/>
        <v>118979</v>
      </c>
      <c r="CG66" s="45">
        <f t="shared" si="20"/>
        <v>1000000</v>
      </c>
      <c r="CH66" s="45">
        <f t="shared" ref="CH66:CI66" si="21">SUM(CH8:CH65)</f>
        <v>5000000</v>
      </c>
      <c r="CI66" s="45">
        <f t="shared" si="21"/>
        <v>-61550</v>
      </c>
    </row>
    <row r="67" spans="1:87" s="58" customFormat="1" ht="15.75" thickTop="1" x14ac:dyDescent="0.25">
      <c r="C67" s="59"/>
      <c r="D67" s="59"/>
      <c r="E67" s="59"/>
      <c r="F67" s="60"/>
      <c r="G67" s="60"/>
      <c r="H67" s="60"/>
      <c r="I67" s="60"/>
      <c r="J67" s="71"/>
      <c r="K67" s="71"/>
      <c r="L67" s="71"/>
      <c r="M67" s="71"/>
      <c r="N67" s="60"/>
      <c r="Q67" s="140"/>
      <c r="R67" s="60"/>
      <c r="S67" s="60"/>
      <c r="T67" s="71"/>
      <c r="U67" s="71"/>
      <c r="V67" s="71"/>
      <c r="W67" s="71"/>
      <c r="X67" s="71"/>
      <c r="Y67" s="60"/>
      <c r="Z67" s="60"/>
      <c r="AA67" s="60"/>
      <c r="AB67" s="71"/>
      <c r="AC67" s="71"/>
      <c r="AD67" s="71"/>
      <c r="AE67" s="72"/>
      <c r="AF67" s="71"/>
      <c r="AG67" s="72"/>
      <c r="AH67" s="60"/>
      <c r="AI67" s="60"/>
      <c r="AJ67" s="60"/>
      <c r="AK67" s="60"/>
      <c r="AL67" s="71"/>
      <c r="AM67" s="71"/>
      <c r="AN67" s="60"/>
      <c r="AO67" s="60"/>
      <c r="AP67" s="60"/>
      <c r="AQ67" s="60"/>
      <c r="AR67" s="60"/>
      <c r="AS67" s="71"/>
      <c r="AT67" s="71"/>
      <c r="AU67" s="71"/>
      <c r="AV67" s="71"/>
      <c r="AW67" s="71"/>
      <c r="AX67" s="60"/>
      <c r="AY67" s="60"/>
      <c r="AZ67" s="60"/>
      <c r="BA67" s="60"/>
      <c r="BB67" s="60"/>
      <c r="BC67" s="60"/>
      <c r="BD67" s="72"/>
      <c r="BE67" s="72"/>
      <c r="BF67" s="72"/>
      <c r="BG67" s="71"/>
      <c r="BH67" s="71"/>
      <c r="BI67" s="71"/>
      <c r="BK67" s="60"/>
      <c r="BL67" s="71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71"/>
      <c r="CC67" s="71"/>
      <c r="CD67" s="60"/>
      <c r="CE67" s="60"/>
      <c r="CF67" s="60"/>
      <c r="CG67" s="60"/>
      <c r="CH67" s="60"/>
      <c r="CI67" s="60"/>
    </row>
    <row r="68" spans="1:87" x14ac:dyDescent="0.25">
      <c r="Q68" s="140"/>
    </row>
    <row r="69" spans="1:87" x14ac:dyDescent="0.25">
      <c r="B69" s="51"/>
    </row>
    <row r="70" spans="1:87" x14ac:dyDescent="0.25">
      <c r="B70" s="58"/>
    </row>
    <row r="71" spans="1:87" x14ac:dyDescent="0.25">
      <c r="B71" s="75"/>
      <c r="C71" s="20"/>
      <c r="D71" s="20"/>
      <c r="E71" s="20"/>
      <c r="F71" s="20"/>
      <c r="G71" s="20"/>
      <c r="H71" s="20"/>
      <c r="I71" s="20"/>
      <c r="Y71" s="20"/>
      <c r="Z71" s="20"/>
      <c r="AA71" s="20"/>
      <c r="AH71" s="20"/>
      <c r="AI71" s="20"/>
      <c r="AJ71" s="20"/>
      <c r="AL71" s="32"/>
      <c r="AP71" s="20"/>
      <c r="AQ71" s="20"/>
      <c r="AR71" s="20"/>
      <c r="AX71" s="20"/>
      <c r="AY71" s="20"/>
      <c r="AZ71" s="20"/>
      <c r="BA71" s="20"/>
      <c r="BB71" s="20"/>
      <c r="BC71" s="20"/>
      <c r="BP71" s="20"/>
      <c r="BQ71" s="20"/>
      <c r="BR71" s="20"/>
      <c r="BS71" s="20"/>
      <c r="BT71" s="20"/>
      <c r="BU71" s="20"/>
      <c r="CE71" s="20"/>
      <c r="CF71" s="20"/>
      <c r="CG71" s="20"/>
    </row>
    <row r="72" spans="1:87" x14ac:dyDescent="0.25">
      <c r="B72" s="75"/>
      <c r="C72" s="20"/>
      <c r="D72" s="20"/>
      <c r="E72" s="20"/>
      <c r="F72" s="20"/>
      <c r="G72" s="20"/>
      <c r="H72" s="20"/>
      <c r="I72" s="20"/>
      <c r="Y72" s="20"/>
      <c r="Z72" s="20"/>
      <c r="AA72" s="20"/>
      <c r="AH72" s="20"/>
      <c r="AI72" s="20"/>
      <c r="AJ72" s="20"/>
      <c r="AL72" s="32"/>
      <c r="AP72" s="20"/>
      <c r="AQ72" s="20"/>
      <c r="AR72" s="20"/>
      <c r="AX72" s="20"/>
      <c r="AY72" s="20"/>
      <c r="AZ72" s="20"/>
      <c r="BA72" s="20"/>
      <c r="BB72" s="20"/>
      <c r="BC72" s="20"/>
      <c r="BP72" s="20"/>
      <c r="BQ72" s="20"/>
      <c r="BR72" s="20"/>
      <c r="BS72" s="20"/>
      <c r="BT72" s="20"/>
      <c r="BU72" s="20"/>
      <c r="CE72" s="20"/>
      <c r="CF72" s="20"/>
      <c r="CG72" s="20"/>
    </row>
    <row r="73" spans="1:87" s="13" customFormat="1" x14ac:dyDescent="0.25">
      <c r="C73" s="33"/>
      <c r="D73" s="34"/>
      <c r="E73" s="33"/>
      <c r="F73" s="33"/>
      <c r="G73" s="33"/>
      <c r="H73" s="33"/>
      <c r="I73" s="33"/>
      <c r="J73" s="29"/>
      <c r="K73" s="29"/>
      <c r="L73" s="29"/>
      <c r="M73" s="29"/>
      <c r="N73" s="34"/>
      <c r="Q73" s="136"/>
      <c r="R73" s="34"/>
      <c r="S73" s="34"/>
      <c r="T73" s="29"/>
      <c r="U73" s="29"/>
      <c r="V73" s="29"/>
      <c r="W73" s="29"/>
      <c r="X73" s="29"/>
      <c r="Y73" s="33"/>
      <c r="Z73" s="33"/>
      <c r="AA73" s="33"/>
      <c r="AB73" s="29"/>
      <c r="AC73" s="29"/>
      <c r="AD73" s="29"/>
      <c r="AE73" s="57"/>
      <c r="AF73" s="29"/>
      <c r="AG73" s="57"/>
      <c r="AH73" s="33"/>
      <c r="AI73" s="33"/>
      <c r="AJ73" s="33"/>
      <c r="AK73" s="34"/>
      <c r="AL73" s="35"/>
      <c r="AM73" s="29"/>
      <c r="AN73" s="34"/>
      <c r="AO73" s="34"/>
      <c r="AP73" s="33"/>
      <c r="AQ73" s="33"/>
      <c r="AR73" s="33"/>
      <c r="AS73" s="29"/>
      <c r="AT73" s="29"/>
      <c r="AU73" s="29"/>
      <c r="AV73" s="29"/>
      <c r="AW73" s="29"/>
      <c r="AX73" s="33"/>
      <c r="AY73" s="33"/>
      <c r="AZ73" s="33"/>
      <c r="BA73" s="33"/>
      <c r="BB73" s="33"/>
      <c r="BC73" s="33"/>
      <c r="BD73" s="57"/>
      <c r="BE73" s="57"/>
      <c r="BF73" s="57"/>
      <c r="BG73" s="29"/>
      <c r="BH73" s="29"/>
      <c r="BI73" s="29"/>
      <c r="BK73" s="34"/>
      <c r="BL73" s="29"/>
      <c r="BM73" s="34"/>
      <c r="BN73" s="34"/>
      <c r="BO73" s="34"/>
      <c r="BP73" s="33"/>
      <c r="BQ73" s="33"/>
      <c r="BR73" s="33"/>
      <c r="BS73" s="33"/>
      <c r="BT73" s="33"/>
      <c r="BU73" s="33"/>
      <c r="BV73" s="34"/>
      <c r="BW73" s="34"/>
      <c r="BX73" s="34"/>
      <c r="BY73" s="34"/>
      <c r="BZ73" s="34"/>
      <c r="CA73" s="34"/>
      <c r="CB73" s="29"/>
      <c r="CC73" s="29"/>
      <c r="CD73" s="34"/>
      <c r="CE73" s="33"/>
      <c r="CF73" s="33"/>
      <c r="CG73" s="33"/>
      <c r="CH73" s="34"/>
      <c r="CI73" s="34"/>
    </row>
    <row r="74" spans="1:87" s="17" customFormat="1" x14ac:dyDescent="0.25">
      <c r="C74" s="36"/>
      <c r="D74" s="36"/>
      <c r="E74" s="36"/>
      <c r="F74" s="36"/>
      <c r="G74" s="36"/>
      <c r="H74" s="36"/>
      <c r="I74" s="36"/>
      <c r="J74" s="29"/>
      <c r="K74" s="29"/>
      <c r="L74" s="29"/>
      <c r="M74" s="29"/>
      <c r="N74" s="36"/>
      <c r="Q74" s="137"/>
      <c r="R74" s="36"/>
      <c r="S74" s="36"/>
      <c r="T74" s="29"/>
      <c r="U74" s="29"/>
      <c r="V74" s="29"/>
      <c r="W74" s="29"/>
      <c r="X74" s="29"/>
      <c r="Y74" s="36"/>
      <c r="Z74" s="36"/>
      <c r="AA74" s="36"/>
      <c r="AB74" s="29"/>
      <c r="AC74" s="29"/>
      <c r="AD74" s="29"/>
      <c r="AE74" s="57"/>
      <c r="AF74" s="29"/>
      <c r="AG74" s="57"/>
      <c r="AH74" s="36"/>
      <c r="AI74" s="36"/>
      <c r="AJ74" s="36"/>
      <c r="AK74" s="36"/>
      <c r="AL74" s="35"/>
      <c r="AM74" s="29"/>
      <c r="AN74" s="36"/>
      <c r="AO74" s="36"/>
      <c r="AP74" s="36"/>
      <c r="AQ74" s="36"/>
      <c r="AR74" s="36"/>
      <c r="AS74" s="29"/>
      <c r="AT74" s="29"/>
      <c r="AU74" s="29"/>
      <c r="AV74" s="29"/>
      <c r="AW74" s="29"/>
      <c r="AX74" s="36"/>
      <c r="AY74" s="36"/>
      <c r="AZ74" s="36"/>
      <c r="BA74" s="36"/>
      <c r="BB74" s="36"/>
      <c r="BC74" s="36"/>
      <c r="BD74" s="57"/>
      <c r="BE74" s="57"/>
      <c r="BF74" s="57"/>
      <c r="BG74" s="29"/>
      <c r="BH74" s="29"/>
      <c r="BI74" s="29"/>
      <c r="BK74" s="36"/>
      <c r="BL74" s="29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29"/>
      <c r="CC74" s="29"/>
      <c r="CD74" s="36"/>
      <c r="CE74" s="36"/>
      <c r="CF74" s="36"/>
      <c r="CG74" s="36"/>
      <c r="CH74" s="36"/>
      <c r="CI74" s="36"/>
    </row>
    <row r="75" spans="1:87" s="17" customFormat="1" x14ac:dyDescent="0.25">
      <c r="C75" s="36"/>
      <c r="D75" s="36"/>
      <c r="E75" s="36"/>
      <c r="F75" s="36"/>
      <c r="G75" s="36"/>
      <c r="H75" s="36"/>
      <c r="I75" s="36"/>
      <c r="J75" s="29"/>
      <c r="K75" s="29"/>
      <c r="L75" s="29"/>
      <c r="M75" s="29"/>
      <c r="N75" s="36"/>
      <c r="Q75" s="137"/>
      <c r="R75" s="36"/>
      <c r="S75" s="36"/>
      <c r="T75" s="29"/>
      <c r="U75" s="29"/>
      <c r="V75" s="29"/>
      <c r="W75" s="29"/>
      <c r="X75" s="29"/>
      <c r="Y75" s="36"/>
      <c r="Z75" s="36"/>
      <c r="AA75" s="36"/>
      <c r="AB75" s="29"/>
      <c r="AC75" s="29"/>
      <c r="AD75" s="29"/>
      <c r="AE75" s="57"/>
      <c r="AF75" s="29"/>
      <c r="AG75" s="57"/>
      <c r="AH75" s="36"/>
      <c r="AI75" s="36"/>
      <c r="AJ75" s="36"/>
      <c r="AK75" s="36"/>
      <c r="AL75" s="35"/>
      <c r="AM75" s="29"/>
      <c r="AN75" s="36"/>
      <c r="AO75" s="36"/>
      <c r="AP75" s="36"/>
      <c r="AQ75" s="36"/>
      <c r="AR75" s="36"/>
      <c r="AS75" s="29"/>
      <c r="AT75" s="29"/>
      <c r="AU75" s="29"/>
      <c r="AV75" s="29"/>
      <c r="AW75" s="29"/>
      <c r="AX75" s="36"/>
      <c r="AY75" s="36"/>
      <c r="AZ75" s="36"/>
      <c r="BA75" s="36"/>
      <c r="BB75" s="36"/>
      <c r="BC75" s="36"/>
      <c r="BD75" s="57"/>
      <c r="BE75" s="57"/>
      <c r="BF75" s="57"/>
      <c r="BG75" s="29"/>
      <c r="BH75" s="29"/>
      <c r="BI75" s="29"/>
      <c r="BK75" s="36"/>
      <c r="BL75" s="29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29"/>
      <c r="CC75" s="29"/>
      <c r="CD75" s="36"/>
      <c r="CE75" s="36"/>
      <c r="CF75" s="36"/>
      <c r="CG75" s="36"/>
      <c r="CH75" s="36"/>
      <c r="CI75" s="36"/>
    </row>
    <row r="76" spans="1:87" x14ac:dyDescent="0.25">
      <c r="C76" s="20"/>
      <c r="D76" s="20"/>
      <c r="E76" s="20"/>
      <c r="F76" s="20"/>
      <c r="G76" s="20"/>
      <c r="H76" s="20"/>
      <c r="I76" s="20"/>
      <c r="Y76" s="20"/>
      <c r="Z76" s="20"/>
      <c r="AA76" s="20"/>
      <c r="AH76" s="20"/>
      <c r="AI76" s="20"/>
      <c r="AJ76" s="20"/>
      <c r="AL76" s="32"/>
      <c r="AP76" s="20"/>
      <c r="AQ76" s="20"/>
      <c r="AR76" s="20"/>
      <c r="AX76" s="20"/>
      <c r="AY76" s="20"/>
      <c r="AZ76" s="20"/>
      <c r="BA76" s="20"/>
      <c r="BB76" s="20"/>
      <c r="BC76" s="20"/>
      <c r="BP76" s="20"/>
      <c r="BQ76" s="20"/>
      <c r="BR76" s="20"/>
      <c r="BS76" s="20"/>
      <c r="BT76" s="20"/>
      <c r="BU76" s="20"/>
      <c r="CE76" s="20"/>
      <c r="CF76" s="20"/>
      <c r="CG76" s="20"/>
    </row>
    <row r="77" spans="1:87" x14ac:dyDescent="0.25">
      <c r="C77" s="20"/>
      <c r="D77" s="20"/>
      <c r="E77" s="20"/>
      <c r="F77" s="20"/>
      <c r="G77" s="20"/>
      <c r="H77" s="20"/>
      <c r="I77" s="20"/>
      <c r="Y77" s="20"/>
      <c r="Z77" s="20"/>
      <c r="AA77" s="20"/>
      <c r="AH77" s="20"/>
      <c r="AI77" s="20"/>
      <c r="AJ77" s="20"/>
      <c r="AL77" s="32"/>
      <c r="AP77" s="20"/>
      <c r="AQ77" s="20"/>
      <c r="AR77" s="20"/>
      <c r="AX77" s="20"/>
      <c r="AY77" s="20"/>
      <c r="AZ77" s="20"/>
      <c r="BA77" s="20"/>
      <c r="BB77" s="20"/>
      <c r="BC77" s="20"/>
      <c r="BP77" s="20"/>
      <c r="BQ77" s="20"/>
      <c r="BR77" s="20"/>
      <c r="BS77" s="20"/>
      <c r="BT77" s="20"/>
      <c r="BU77" s="20"/>
      <c r="CE77" s="20"/>
      <c r="CF77" s="20"/>
      <c r="CG77" s="20"/>
    </row>
    <row r="78" spans="1:87" x14ac:dyDescent="0.25">
      <c r="C78" s="20"/>
      <c r="D78" s="20"/>
      <c r="E78" s="20"/>
      <c r="F78" s="20"/>
      <c r="G78" s="20"/>
      <c r="H78" s="20"/>
      <c r="I78" s="20"/>
      <c r="Y78" s="20"/>
      <c r="Z78" s="20"/>
      <c r="AA78" s="20"/>
      <c r="AH78" s="20"/>
      <c r="AI78" s="20"/>
      <c r="AJ78" s="20"/>
      <c r="AL78" s="32"/>
      <c r="AP78" s="20"/>
      <c r="AQ78" s="20"/>
      <c r="AR78" s="20"/>
      <c r="AX78" s="20"/>
      <c r="AY78" s="20"/>
      <c r="AZ78" s="20"/>
      <c r="BA78" s="20"/>
      <c r="BB78" s="20"/>
      <c r="BC78" s="20"/>
      <c r="BP78" s="20"/>
      <c r="BQ78" s="20"/>
      <c r="BR78" s="20"/>
      <c r="BS78" s="20"/>
      <c r="BT78" s="20"/>
      <c r="BU78" s="20"/>
      <c r="CE78" s="20"/>
      <c r="CF78" s="20"/>
      <c r="CG78" s="20"/>
    </row>
    <row r="79" spans="1:87" x14ac:dyDescent="0.25">
      <c r="C79" s="20"/>
      <c r="D79" s="20"/>
      <c r="E79" s="20"/>
      <c r="F79" s="20"/>
      <c r="G79" s="20"/>
      <c r="H79" s="20"/>
      <c r="I79" s="20"/>
      <c r="Y79" s="20"/>
      <c r="Z79" s="20"/>
      <c r="AA79" s="20"/>
      <c r="AH79" s="20"/>
      <c r="AI79" s="20"/>
      <c r="AJ79" s="20"/>
      <c r="AL79" s="32"/>
      <c r="AP79" s="20"/>
      <c r="AQ79" s="20"/>
      <c r="AR79" s="20"/>
      <c r="AX79" s="20"/>
      <c r="AY79" s="20"/>
      <c r="AZ79" s="20"/>
      <c r="BA79" s="20"/>
      <c r="BB79" s="20"/>
      <c r="BC79" s="20"/>
      <c r="BP79" s="20"/>
      <c r="BQ79" s="20"/>
      <c r="BR79" s="20"/>
      <c r="BS79" s="20"/>
      <c r="BT79" s="20"/>
      <c r="BU79" s="20"/>
      <c r="CE79" s="20"/>
      <c r="CF79" s="20"/>
      <c r="CG79" s="20"/>
    </row>
    <row r="80" spans="1:87" x14ac:dyDescent="0.25">
      <c r="C80" s="20"/>
      <c r="D80" s="20"/>
      <c r="E80" s="20"/>
      <c r="F80" s="20"/>
      <c r="G80" s="20"/>
      <c r="H80" s="20"/>
      <c r="I80" s="20"/>
      <c r="Y80" s="20"/>
      <c r="Z80" s="20"/>
      <c r="AA80" s="20"/>
      <c r="AH80" s="20"/>
      <c r="AI80" s="20"/>
      <c r="AJ80" s="20"/>
      <c r="AL80" s="32"/>
      <c r="AP80" s="20"/>
      <c r="AQ80" s="20"/>
      <c r="AR80" s="20"/>
      <c r="AX80" s="20"/>
      <c r="AY80" s="20"/>
      <c r="AZ80" s="20"/>
      <c r="BA80" s="20"/>
      <c r="BB80" s="20"/>
      <c r="BC80" s="20"/>
      <c r="BP80" s="20"/>
      <c r="BQ80" s="20"/>
      <c r="BR80" s="20"/>
      <c r="BS80" s="20"/>
      <c r="BT80" s="20"/>
      <c r="BU80" s="20"/>
      <c r="CE80" s="20"/>
      <c r="CF80" s="20"/>
      <c r="CG80" s="20"/>
    </row>
  </sheetData>
  <mergeCells count="4">
    <mergeCell ref="D4:D6"/>
    <mergeCell ref="C4:C6"/>
    <mergeCell ref="E4:I4"/>
    <mergeCell ref="J4:M4"/>
  </mergeCells>
  <phoneticPr fontId="5" type="noConversion"/>
  <printOptions gridLines="1"/>
  <pageMargins left="0.7" right="0.7" top="0.75" bottom="0.75" header="0.3" footer="0.3"/>
  <pageSetup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 &amp; I</vt:lpstr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Katie Buchanan</cp:lastModifiedBy>
  <cp:lastPrinted>2021-06-10T20:16:22Z</cp:lastPrinted>
  <dcterms:created xsi:type="dcterms:W3CDTF">2013-08-01T13:53:33Z</dcterms:created>
  <dcterms:modified xsi:type="dcterms:W3CDTF">2021-06-29T13:02:12Z</dcterms:modified>
</cp:coreProperties>
</file>